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855" tabRatio="978" activeTab="0"/>
  </bookViews>
  <sheets>
    <sheet name="Page de couverture" sheetId="1" r:id="rId1"/>
    <sheet name="1. Cas notifiés" sheetId="2" r:id="rId2"/>
    <sheet name="2A. Calendrier" sheetId="3" r:id="rId3"/>
    <sheet name="2B.Approvisionnement_prix" sheetId="4" r:id="rId4"/>
    <sheet name="3. Vaccination à l'école" sheetId="5" r:id="rId5"/>
    <sheet name="4A. Couverture systématique" sheetId="6" r:id="rId6"/>
    <sheet name="4B. Enquêtes couverture" sheetId="7" r:id="rId7"/>
    <sheet name="5. Estimations officielles" sheetId="8" r:id="rId8"/>
    <sheet name="6. Indicateurs" sheetId="9" r:id="rId9"/>
    <sheet name="8. Activités supplémentaires" sheetId="10" r:id="rId10"/>
    <sheet name="9_Commentaires_généraux" sheetId="11" r:id="rId11"/>
    <sheet name="Instructions" sheetId="12" r:id="rId12"/>
    <sheet name="Incoterm" sheetId="13" r:id="rId13"/>
    <sheet name="Instr_calendrier" sheetId="14" r:id="rId14"/>
    <sheet name="drop_down_lists" sheetId="15" state="hidden" r:id="rId15"/>
  </sheets>
  <externalReferences>
    <externalReference r:id="rId18"/>
    <externalReference r:id="rId19"/>
  </externalReferences>
  <definedNames>
    <definedName name="C_0010">'Page de couverture'!$D$21</definedName>
    <definedName name="C_0080">'Page de couverture'!$D$28</definedName>
    <definedName name="C_1010_A">'1. Cas notifiés'!$F$8</definedName>
    <definedName name="C_1010_B">'1. Cas notifiés'!$G$8</definedName>
    <definedName name="C_1010_C">'1. Cas notifiés'!$I$8</definedName>
    <definedName name="C_1060">'1. Cas notifiés'!$I$13</definedName>
    <definedName name="C_1070">'1. Cas notifiés'!$I$14</definedName>
    <definedName name="C_2010_A">'2A. Calendrier'!$E$9</definedName>
    <definedName name="C_2630">'2A. Calendrier'!$M$77</definedName>
    <definedName name="C_2640">'2A. Calendrier'!$M$78</definedName>
    <definedName name="C_2650">'2A. Calendrier'!$M$79</definedName>
    <definedName name="C_2660">'2A. Calendrier'!$M$83:$M$83</definedName>
    <definedName name="C_3060">'3. Vaccination à l''école'!$B$16</definedName>
    <definedName name="C_3060A">'3. Vaccination à l''école'!$C$16</definedName>
    <definedName name="C_3060B">'3. Vaccination à l''école'!$D$16</definedName>
    <definedName name="C_3060E">'3. Vaccination à l''école'!$G$16</definedName>
    <definedName name="C_3060F">'3. Vaccination à l''école'!$H$16</definedName>
    <definedName name="C_3060G">'3. Vaccination à l''école'!$I$16</definedName>
    <definedName name="C_4010_A">'4A. Couverture systématique'!$D$10</definedName>
    <definedName name="C_4010_B">'4A. Couverture systématique'!$F$10</definedName>
    <definedName name="C_4020_B">'4A. Couverture systématique'!$F$11</definedName>
    <definedName name="C_4030_B">'4A. Couverture systématique'!$F$12</definedName>
    <definedName name="C_4080_B">'4A. Couverture systématique'!$F$17</definedName>
    <definedName name="C_4090_B">'4A. Couverture systématique'!$F$18</definedName>
    <definedName name="C_4160_B">'4A. Couverture systématique'!$F$25</definedName>
    <definedName name="C_4230_A">'4A. Couverture systématique'!$D$32</definedName>
    <definedName name="C_4240_B">'4A. Couverture systématique'!$F$33</definedName>
    <definedName name="C_4250">'4A. Couverture systématique'!$G$35</definedName>
    <definedName name="C_4260">'4A. Couverture systématique'!$G$36</definedName>
    <definedName name="C_4270">'4A. Couverture systématique'!$G$37</definedName>
    <definedName name="C_4280">'4A. Couverture systématique'!$B$42:$H$42</definedName>
    <definedName name="C_4310">'4A. Couverture systématique'!$H$50</definedName>
    <definedName name="C_4330_A">'4A. Couverture systématique'!$C$57</definedName>
    <definedName name="C_4420">'4B. Enquêtes couverture'!$F$7</definedName>
    <definedName name="C_5010">'5. Estimations officielles'!$D$11</definedName>
    <definedName name="C_5240">'5. Estimations officielles'!$D$35</definedName>
    <definedName name="C_6010">'6. Indicateurs'!$E$6</definedName>
    <definedName name="C_6050">'6. Indicateurs'!$E$10</definedName>
    <definedName name="C_6220">'6. Indicateurs'!$C$35</definedName>
    <definedName name="C_6310">'6. Indicateurs'!$G$47</definedName>
    <definedName name="C_6320_A">'6. Indicateurs'!$C$53</definedName>
    <definedName name="C_6320_B">'6. Indicateurs'!$D$53</definedName>
    <definedName name="C_6320_C">'6. Indicateurs'!$E$53</definedName>
    <definedName name="C_6320_D">'6. Indicateurs'!$F$53</definedName>
    <definedName name="C_6320_E">'6. Indicateurs'!$G$53</definedName>
    <definedName name="C_6450">'6. Indicateurs'!$G$67:$H$67</definedName>
    <definedName name="C_6460">'6. Indicateurs'!$G$68:$H$68</definedName>
    <definedName name="C_6470">'6. Indicateurs'!$G$69:$H$69</definedName>
    <definedName name="C_6480">'6. Indicateurs'!$G$70:$H$70</definedName>
    <definedName name="C_6490">'6. Indicateurs'!$G$71:$H$71</definedName>
    <definedName name="C_6500">'6. Indicateurs'!$G$72:$H$72</definedName>
    <definedName name="C_6510">'6. Indicateurs'!$G$73:$H$73</definedName>
    <definedName name="C_6530">'6. Indicateurs'!$G$77:$H$77</definedName>
    <definedName name="C_6540">'6. Indicateurs'!$G$78</definedName>
    <definedName name="C_6560">'6. Indicateurs'!$G$80</definedName>
    <definedName name="C_6570">'6. Indicateurs'!$G$81:$H$81</definedName>
    <definedName name="C_6590">'6. Indicateurs'!$G$83</definedName>
    <definedName name="C_6740">'6. Indicateurs'!$G$119</definedName>
    <definedName name="C_8010">'8. Activités supplémentaires'!$B$10</definedName>
    <definedName name="C_8010_A">'8. Activités supplémentaires'!$C$10</definedName>
    <definedName name="C_8010_D">'8. Activités supplémentaires'!$F$10</definedName>
    <definedName name="C_8010_G">'8. Activités supplémentaires'!$I$10</definedName>
    <definedName name="C_8210">'8. Activités supplémentaires'!$B$37</definedName>
    <definedName name="C_8210_A">'8. Activités supplémentaires'!$C$37</definedName>
    <definedName name="C_8210_D">'8. Activités supplémentaires'!$G$37</definedName>
    <definedName name="C_B_2010A">'2B.Approvisionnement_prix'!$B$12</definedName>
    <definedName name="C_B_2010B">'2B.Approvisionnement_prix'!$C$12</definedName>
    <definedName name="C_B_2010C">'2B.Approvisionnement_prix'!$D$12</definedName>
    <definedName name="C_B_2010D">'2B.Approvisionnement_prix'!$E$12</definedName>
    <definedName name="C_B_2010E">'2B.Approvisionnement_prix'!$F$12</definedName>
    <definedName name="C_B_2010F">'2B.Approvisionnement_prix'!$G$12</definedName>
    <definedName name="C_B_2010G">'2B.Approvisionnement_prix'!$H$12</definedName>
    <definedName name="C_B_2010H">'2B.Approvisionnement_prix'!$I$12</definedName>
    <definedName name="C_B_2010I">'2B.Approvisionnement_prix'!$J$12</definedName>
    <definedName name="C_B_2010J">'2B.Approvisionnement_prix'!$L$12</definedName>
    <definedName name="C_B_2010K">'2B.Approvisionnement_prix'!$M$12</definedName>
    <definedName name="C_B_2010L">'2B.Approvisionnement_prix'!$N$12</definedName>
    <definedName name="C_B_2010M">'2B.Approvisionnement_prix'!$O$12</definedName>
    <definedName name="C_B_2010N">'2B.Approvisionnement_prix'!$P$12</definedName>
    <definedName name="C_B_2010O">'2B.Approvisionnement_prix'!$Q$12</definedName>
    <definedName name="C_B_2010P">'2B.Approvisionnement_prix'!$S$12</definedName>
    <definedName name="C_F4">'6. Indicateurs'!$G$90</definedName>
    <definedName name="C_F5">'6. Indicateurs'!$G$91</definedName>
    <definedName name="C_F6">'6. Indicateurs'!$G$92:$H$92</definedName>
    <definedName name="C_F7">'6. Indicateurs'!$G$93</definedName>
    <definedName name="C_F8">'6. Indicateurs'!$G$94</definedName>
    <definedName name="C_F9">'6. Indicateurs'!$G$95:$H$95</definedName>
    <definedName name="C_NITAG1">'6. Indicateurs'!$E$14</definedName>
    <definedName name="C_NITAG2">'6. Indicateurs'!$E$15</definedName>
    <definedName name="C_NITAG3">'6. Indicateurs'!$E$16</definedName>
    <definedName name="C_NITAG4">'6. Indicateurs'!$E$17</definedName>
    <definedName name="C_NITAG5">'6. Indicateurs'!$E$23</definedName>
    <definedName name="C_NITAG6">'6. Indicateurs'!$E$24</definedName>
    <definedName name="C_NITAG7">'6. Indicateurs'!$E$25</definedName>
    <definedName name="C_NITAG8">'6. Indicateurs'!$E$26</definedName>
    <definedName name="C_NITAG9">'6. Indicateurs'!$E$28</definedName>
    <definedName name="DDL_AEFI">'drop_down_lists'!$G$59:$G$62</definedName>
    <definedName name="DDL_Country_name">'drop_down_lists'!$B$3:$B$198</definedName>
    <definedName name="DDL_currency">'drop_down_lists'!$H$7:$H$155</definedName>
    <definedName name="DDL_days">'drop_down_lists'!$D$17:$D$47</definedName>
    <definedName name="DDL_financing">'drop_down_lists'!$G$23:$G$24</definedName>
    <definedName name="DDL_funding">'drop_down_lists'!$E$112:$E$117</definedName>
    <definedName name="DDL_geo_area" localSheetId="4">'drop_down_lists'!$F$7:$F$8</definedName>
    <definedName name="DDL_geo_area">'drop_down_lists'!$F$7:$F$8</definedName>
    <definedName name="DDL_Hemisphere">'drop_down_lists'!$G$31:$G$33</definedName>
    <definedName name="DDL_Hesitancy">'drop_down_lists'!$G$37:$G$38</definedName>
    <definedName name="DDL_incoterm">'drop_down_lists'!$F$96:$F$110</definedName>
    <definedName name="DDL_length">'drop_down_lists'!$F$81:$F$87</definedName>
    <definedName name="DDL_Manuf">'drop_down_lists'!$G$65:$G$122</definedName>
    <definedName name="DDL_months">'drop_down_lists'!$D$3:$D$14</definedName>
    <definedName name="DDL_NITAG_member">'drop_down_lists'!$G$27:$G$28</definedName>
    <definedName name="DDL_pick_cell_type">'drop_down_lists'!$F$3:$F$4</definedName>
    <definedName name="DDL_Presentation">'drop_down_lists'!$F$50:$F$59</definedName>
    <definedName name="DDL_Private">'drop_down_lists'!$G$42:$G$45</definedName>
    <definedName name="DDL_procurement">'drop_down_lists'!$F$70:$F$78</definedName>
    <definedName name="DDL_sex">'drop_down_lists'!$F$39:$F$41</definedName>
    <definedName name="DDL_sia_years">'drop_down_lists'!$E$36:$E$37</definedName>
    <definedName name="DDL_source">'drop_down_lists'!$F$63:$F$67</definedName>
    <definedName name="DDL_stockout">'drop_down_lists'!$G$49:$G$56</definedName>
    <definedName name="DDL_syear">'drop_down_lists'!$E$31:$E$33</definedName>
    <definedName name="DDL_target_group">'drop_down_lists'!$G$3:$G$4</definedName>
    <definedName name="DDL_target_group_vitA">'drop_down_lists'!$G$7:$G$10</definedName>
    <definedName name="DDL_target_TT">'drop_down_lists'!$G$12:$G$13</definedName>
    <definedName name="DDL_vaccine_procured">'drop_down_lists'!$F$12:$F$15</definedName>
    <definedName name="DDL_Vaccine_type">'[2]drop_down_lists'!$D$182:$D$241</definedName>
    <definedName name="DDL_Vaccins">'drop_down_lists'!$E$50:$E$109</definedName>
    <definedName name="DDL_vi_years">'drop_down_lists'!$E$40:$E$43</definedName>
    <definedName name="DDL_wastage">'drop_down_lists'!$G$17:$G$19</definedName>
    <definedName name="DDL_years" localSheetId="12">'[2]drop_down_lists'!$E$3:$E$25</definedName>
    <definedName name="DDL_years">'drop_down_lists'!$E$3:$E$27</definedName>
    <definedName name="DDL_Yes_no" localSheetId="4">'drop_down_lists'!$F$29:$F$30</definedName>
    <definedName name="DDL_Yes_no" localSheetId="12">'[2]drop_down_lists'!$F$29:$F$30</definedName>
    <definedName name="DDL_Yes_no">'drop_down_lists'!$F$29:$F$30</definedName>
    <definedName name="DDL_yes_no_ND" localSheetId="12">'[2]drop_down_lists'!$F$44:$F$46</definedName>
    <definedName name="DDL_yes_no_ND">'drop_down_lists'!$F$44:$F$46</definedName>
    <definedName name="DDL_Yes_No_NR" localSheetId="12">'[2]drop_down_lists'!$F$24:$F$26</definedName>
    <definedName name="DDL_Yes_No_NR">'drop_down_lists'!$F$24:$F$26</definedName>
    <definedName name="DDL_yes_no_NR_ND" localSheetId="12">'[2]drop_down_lists'!$F$33:$F$36</definedName>
    <definedName name="DDL_yes_no_NR_ND">'drop_down_lists'!$F$33:$F$36</definedName>
    <definedName name="DDL_yes_no_part">'drop_down_lists'!$F$18:$F$20</definedName>
    <definedName name="DDL_yes_no_unknown" localSheetId="12">'[2]drop_down_lists'!$D$255:$D$257</definedName>
    <definedName name="DDL_yes_no_unknown">'drop_down_lists'!$F$91:$F$93</definedName>
    <definedName name="Filename" localSheetId="12">'[2]drop_down_lists'!$H$3</definedName>
    <definedName name="Filename">'drop_down_lists'!$H$3</definedName>
    <definedName name="Ins_F4">'Instructions'!$C$99</definedName>
    <definedName name="Ins_F5">'Instructions'!$C$100</definedName>
    <definedName name="ins_F6">'Instructions'!$C$101</definedName>
    <definedName name="Ins_F7">'Instructions'!$C$102</definedName>
    <definedName name="Ins_F8">'Instructions'!$C$103</definedName>
    <definedName name="Ins_F9">'Instructions'!$C$104</definedName>
    <definedName name="Ins_Hesitancy">'Instructions'!$C$105</definedName>
    <definedName name="Ins_HPV">'Instructions'!$C$62</definedName>
    <definedName name="Ins_NITAG1">'Instructions'!$C$70</definedName>
    <definedName name="Ins_NITAG2">'Instructions'!$C$71</definedName>
    <definedName name="Ins_NITAG3">'Instructions'!$C$72</definedName>
    <definedName name="Ins_NITAG4">'Instructions'!$C$73</definedName>
    <definedName name="Ins_NITAG5">'Instructions'!$C$74</definedName>
    <definedName name="Ins_NITAG6">'Instructions'!$C$75</definedName>
    <definedName name="Ins_NITAG7">'Instructions'!$C$76</definedName>
    <definedName name="Ins_NITAG8">'Instructions'!$C$77</definedName>
    <definedName name="Ins_NITAG9">'Instructions'!$C$78</definedName>
    <definedName name="Ins0010">'Instructions'!$C$4</definedName>
    <definedName name="Ins0080">'Instructions'!$C$5</definedName>
    <definedName name="Ins1010_1100_A">'Instructions'!$C$8</definedName>
    <definedName name="Ins1010_1100_B">'Instructions'!$C$9</definedName>
    <definedName name="Ins1010_1100_C">'Instructions'!$C$10</definedName>
    <definedName name="Ins1060">'Instructions'!$C$11</definedName>
    <definedName name="Ins1070">'Instructions'!$C$12</definedName>
    <definedName name="Ins2010_2590">'Instr_calendrier'!$B$2</definedName>
    <definedName name="Ins2010_2590_A_F">'Instr_calendrier'!$B$3:$P$9</definedName>
    <definedName name="Ins2010_2590_I_J">'Instr_calendrier'!$B$10</definedName>
    <definedName name="Ins2630">'Instructions'!$C$15</definedName>
    <definedName name="Ins2640">'Instructions'!$C$16</definedName>
    <definedName name="Ins2650">'Instructions'!$C$17</definedName>
    <definedName name="Ins2660">'Instructions'!$C$18</definedName>
    <definedName name="Ins3060_3170">'Instructions'!$C$39</definedName>
    <definedName name="Ins3060_3170A">'Instructions'!$C$40</definedName>
    <definedName name="Ins3060_3170B">'Instructions'!$C$41</definedName>
    <definedName name="Ins3060_3170E">'Instructions'!$C$42</definedName>
    <definedName name="Ins3060_3170F">'Instructions'!$C$43</definedName>
    <definedName name="Ins3060_3170G">'Instructions'!$C$44</definedName>
    <definedName name="Ins4010_4240">'Instructions'!$C$47</definedName>
    <definedName name="Ins4010_4240_A">'Instructions'!$C$48</definedName>
    <definedName name="Ins4010_4240_B">'Instructions'!$C$49</definedName>
    <definedName name="Ins4020">'Instructions'!$C$50</definedName>
    <definedName name="Ins4030">'Instructions'!$C$51</definedName>
    <definedName name="Ins4080">'Instructions'!$C$52</definedName>
    <definedName name="Ins4090">'Instructions'!$C$53</definedName>
    <definedName name="Ins4160_4180">'Instructions'!$C$54</definedName>
    <definedName name="Ins4230">'Instructions'!$C$55</definedName>
    <definedName name="Ins4240">'Instructions'!$C$56</definedName>
    <definedName name="Ins4250">'Instructions'!$C$57</definedName>
    <definedName name="ins4260">'Instructions'!$C$58</definedName>
    <definedName name="ins4270">'Instructions'!$C$59</definedName>
    <definedName name="Ins4280_4300">'Instructions'!$C$60</definedName>
    <definedName name="Ins4310_4320">'Instructions'!$C$61</definedName>
    <definedName name="Ins4420">'Instructions'!$C$63</definedName>
    <definedName name="Ins5010_5230">'Instructions'!$C$64</definedName>
    <definedName name="Ins5240">'Instructions'!$C$65</definedName>
    <definedName name="Ins6010">'Instructions'!$C$68</definedName>
    <definedName name="Ins6050">'Instructions'!$C$69</definedName>
    <definedName name="Ins6220_6300">'Instructions'!$C$79</definedName>
    <definedName name="Ins6310">'Instructions'!$C$80</definedName>
    <definedName name="Ins6320_6440_A">'Instructions'!$C$81</definedName>
    <definedName name="Ins6320_6440_B">'Instructions'!$C$82</definedName>
    <definedName name="Ins6320_6440_C">'Instructions'!$C$83</definedName>
    <definedName name="Ins6320_6440_D">'Instructions'!$C$84</definedName>
    <definedName name="Ins6320_6440_E">'Instructions'!$C$85</definedName>
    <definedName name="Ins6440_6460">'Instructions'!$C$98</definedName>
    <definedName name="Ins6450">'Instructions'!$C$86</definedName>
    <definedName name="Ins6460">'Instructions'!$C$87</definedName>
    <definedName name="Ins6470">'Instructions'!$C$88</definedName>
    <definedName name="Ins6480">'Instructions'!$C$89</definedName>
    <definedName name="Ins6490">'Instructions'!$C$90</definedName>
    <definedName name="Ins6500">'Instructions'!$C$91</definedName>
    <definedName name="Ins6510">'Instructions'!$C$92</definedName>
    <definedName name="Ins6530">'Instructions'!$C$93</definedName>
    <definedName name="Ins6540">'Instructions'!$C$94</definedName>
    <definedName name="Ins6560">'Instructions'!$C$95</definedName>
    <definedName name="Ins6570">'Instructions'!$C$96</definedName>
    <definedName name="Ins6590">'Instructions'!$C$97</definedName>
    <definedName name="Ins8010_8200">'Instructions'!$C$107</definedName>
    <definedName name="Ins8010_8200_A">'Instructions'!$C$108</definedName>
    <definedName name="Ins8010_8200_D">'Instructions'!$C$109</definedName>
    <definedName name="Ins8010_8200_G">'Instructions'!$C$110</definedName>
    <definedName name="Ins8210_8310">'Instructions'!$C$111</definedName>
    <definedName name="Ins8210_8310_A">'Instructions'!$C$112</definedName>
    <definedName name="Ins8210_8310_D">'Instructions'!$C$113</definedName>
    <definedName name="InsProcA">'Instructions'!$C$21</definedName>
    <definedName name="InsProcB">'Instructions'!$C$22</definedName>
    <definedName name="InsProcC">'Instructions'!$C$23</definedName>
    <definedName name="InsProcD">'Instructions'!$C$24</definedName>
    <definedName name="InsProcE">'Instructions'!$C$25</definedName>
    <definedName name="InsProcF">'Instructions'!$C$26</definedName>
    <definedName name="InsProcG">'Instructions'!$C$27</definedName>
    <definedName name="InsProcH">'Instructions'!$C$28</definedName>
    <definedName name="InsProcI">'Instructions'!$C$29</definedName>
    <definedName name="InsProcJ">'Instructions'!$C$30</definedName>
    <definedName name="InsProcK">'Instructions'!$C$31</definedName>
    <definedName name="InsProcL">'Instructions'!$C$32</definedName>
    <definedName name="InsProcM">'Instructions'!$C$33</definedName>
    <definedName name="InsProcN">'Instructions'!$C$34</definedName>
    <definedName name="InsProcO">'Instructions'!$C$35</definedName>
    <definedName name="InsProcP">'Instructions'!$C$36</definedName>
    <definedName name="OLE_LINK3" localSheetId="8">'6. Indicateurs'!$D$14</definedName>
    <definedName name="page0" localSheetId="4">'[1]Cover Page'!#REF!</definedName>
    <definedName name="page0">'Page de couverture'!$A$1</definedName>
    <definedName name="page1">'1. Cas notifiés'!$A$1</definedName>
    <definedName name="page2">'2A. Calendrier'!$E$9</definedName>
    <definedName name="Page2B">'2B.Approvisionnement_prix'!$A$1</definedName>
    <definedName name="page3" localSheetId="4">'3. Vaccination à l''école'!$A$1</definedName>
    <definedName name="page3">'3. Vaccination à l''école'!$G$4:$H$4</definedName>
    <definedName name="page4a">'4A. Couverture systématique'!$A$1</definedName>
    <definedName name="page4b">'4B. Enquêtes couverture'!$A$1</definedName>
    <definedName name="page5">'5. Estimations officielles'!$A$1</definedName>
    <definedName name="page6a">'6. Indicateurs'!$A$1</definedName>
    <definedName name="page6b">#REF!</definedName>
    <definedName name="page8">'8. Activités supplémentaires'!$A$1</definedName>
    <definedName name="page9">'9_Commentaires_généraux'!$A$1</definedName>
    <definedName name="_xlnm.Print_Area" localSheetId="11">'Instructions'!$A$1:$D$113</definedName>
    <definedName name="_xlnm.Print_Titles" localSheetId="2">'2A. Calendrier'!$6:$8</definedName>
    <definedName name="_xlnm.Print_Titles" localSheetId="3">'2B.Approvisionnement_prix'!$9:$11</definedName>
    <definedName name="_xlnm.Print_Titles" localSheetId="11">'Instructions'!$2:$2</definedName>
    <definedName name="Z_978B8B5A_59E0_4FD5_B051_0871B51A918B_.wvu.Cols" localSheetId="2" hidden="1">'2A. Calendrier'!$S:$V</definedName>
    <definedName name="Z_978B8B5A_59E0_4FD5_B051_0871B51A918B_.wvu.Cols" localSheetId="6" hidden="1">'4B. Enquêtes couverture'!$G:$J</definedName>
    <definedName name="Z_978B8B5A_59E0_4FD5_B051_0871B51A918B_.wvu.Cols" localSheetId="8" hidden="1">'6. Indicateurs'!$G:$I</definedName>
    <definedName name="Z_978B8B5A_59E0_4FD5_B051_0871B51A918B_.wvu.Cols" localSheetId="9" hidden="1">'8. Activités supplémentaires'!$O:$P</definedName>
    <definedName name="Z_978B8B5A_59E0_4FD5_B051_0871B51A918B_.wvu.Cols" localSheetId="0" hidden="1">'Page de couverture'!$N:$GX</definedName>
    <definedName name="Z_978B8B5A_59E0_4FD5_B051_0871B51A918B_.wvu.PrintTitles" localSheetId="2" hidden="1">'2A. Calendrier'!$A:$C,'2A. Calendrier'!$6:$8</definedName>
    <definedName name="Z_978B8B5A_59E0_4FD5_B051_0871B51A918B_.wvu.PrintTitles" localSheetId="11" hidden="1">'Instructions'!$2:$2</definedName>
    <definedName name="Z_E116B152_2536_459D_8CDE_1B0F80247DDF_.wvu.Cols" localSheetId="2" hidden="1">'2A. Calendrier'!$S:$AT</definedName>
    <definedName name="Z_E116B152_2536_459D_8CDE_1B0F80247DDF_.wvu.Cols" localSheetId="6" hidden="1">'4B. Enquêtes couverture'!$G:$J</definedName>
    <definedName name="Z_E116B152_2536_459D_8CDE_1B0F80247DDF_.wvu.Cols" localSheetId="9" hidden="1">'8. Activités supplémentaires'!$O:$P</definedName>
    <definedName name="Z_E116B152_2536_459D_8CDE_1B0F80247DDF_.wvu.Cols" localSheetId="0" hidden="1">'Page de couverture'!$N:$GX</definedName>
    <definedName name="Z_E116B152_2536_459D_8CDE_1B0F80247DDF_.wvu.PrintTitles" localSheetId="2" hidden="1">'2A. Calendrier'!$A:$C,'2A. Calendrier'!$6:$8</definedName>
    <definedName name="Z_E116B152_2536_459D_8CDE_1B0F80247DDF_.wvu.PrintTitles" localSheetId="11" hidden="1">'Instructions'!$2:$2</definedName>
  </definedNames>
  <calcPr fullCalcOnLoad="1"/>
</workbook>
</file>

<file path=xl/sharedStrings.xml><?xml version="1.0" encoding="utf-8"?>
<sst xmlns="http://schemas.openxmlformats.org/spreadsheetml/2006/main" count="2934" uniqueCount="1564">
  <si>
    <r>
      <t>Certaines parties de ce formulaire sont accompagnées d'instructions que vous pouvez lire en cliquant sur les liens en</t>
    </r>
    <r>
      <rPr>
        <i/>
        <u val="single"/>
        <sz val="10"/>
        <color indexed="12"/>
        <rFont val="Verdana"/>
        <family val="2"/>
      </rPr>
      <t xml:space="preserve"> bleu et soulignés</t>
    </r>
  </si>
  <si>
    <r>
      <t xml:space="preserve"> </t>
    </r>
    <r>
      <rPr>
        <i/>
        <sz val="9"/>
        <color indexed="60"/>
        <rFont val="Verdana"/>
        <family val="2"/>
      </rPr>
      <t>L</t>
    </r>
    <r>
      <rPr>
        <i/>
        <sz val="10"/>
        <color indexed="60"/>
        <rFont val="Verdana"/>
        <family val="2"/>
      </rPr>
      <t>es données des années précédentes sont disponibles sur les sites suivants :</t>
    </r>
  </si>
  <si>
    <t>Pays :</t>
  </si>
  <si>
    <t>Date de remise du rapport :</t>
  </si>
  <si>
    <t>Nom de la personne chargée, au Ministère de la Santé, de remplir ce formulaire</t>
  </si>
  <si>
    <t>Poste/fonction</t>
  </si>
  <si>
    <t>Expliquer pourquoi il s'agit d'estimations officielles et indiquer leur source</t>
  </si>
  <si>
    <t xml:space="preserve">SO </t>
  </si>
  <si>
    <t>SO</t>
  </si>
  <si>
    <t>Nb de districts ayant rapporté un taux d'abandon du DTC supérieur à 10 %</t>
  </si>
  <si>
    <t>A.
Phase et type d'activité</t>
  </si>
  <si>
    <r>
      <t>Si une rubrique est sans objet, indiquer "</t>
    </r>
    <r>
      <rPr>
        <b/>
        <i/>
        <sz val="10"/>
        <color indexed="60"/>
        <rFont val="Verdana"/>
        <family val="2"/>
      </rPr>
      <t>SO</t>
    </r>
    <r>
      <rPr>
        <i/>
        <sz val="10"/>
        <color indexed="60"/>
        <rFont val="Verdana"/>
        <family val="2"/>
      </rPr>
      <t>" (sans objet)</t>
    </r>
  </si>
  <si>
    <r>
      <t>Si aucune donnée n'est disponible, indiquer "</t>
    </r>
    <r>
      <rPr>
        <b/>
        <i/>
        <sz val="10"/>
        <color indexed="60"/>
        <rFont val="Verdana"/>
        <family val="2"/>
      </rPr>
      <t>ND</t>
    </r>
    <r>
      <rPr>
        <i/>
        <sz val="10"/>
        <color indexed="60"/>
        <rFont val="Verdana"/>
        <family val="2"/>
      </rPr>
      <t>" (non disponible).</t>
    </r>
  </si>
  <si>
    <r>
      <t xml:space="preserve">S'il n'y a eu aucun cas, indiquer </t>
    </r>
    <r>
      <rPr>
        <b/>
        <i/>
        <sz val="10"/>
        <color indexed="60"/>
        <rFont val="Verdana"/>
        <family val="2"/>
      </rPr>
      <t>0</t>
    </r>
    <r>
      <rPr>
        <i/>
        <sz val="10"/>
        <color indexed="60"/>
        <rFont val="Verdana"/>
        <family val="2"/>
      </rPr>
      <t>.</t>
    </r>
  </si>
  <si>
    <r>
      <t>Nombre de doses administrées systématique-ment</t>
    </r>
    <r>
      <rPr>
        <i/>
        <sz val="8"/>
        <rFont val="Verdana"/>
        <family val="2"/>
      </rPr>
      <t xml:space="preserve"> (numérateur)</t>
    </r>
  </si>
  <si>
    <t>moins de 59 mois</t>
  </si>
  <si>
    <t>Explications</t>
  </si>
  <si>
    <t>Nombre de districts disposant de micro-plans actualisés afin d'augmenter la couverture vaccinale</t>
  </si>
  <si>
    <t>National</t>
  </si>
  <si>
    <t>Sous-national</t>
  </si>
  <si>
    <t xml:space="preserve">Merci de remplir pour chaque vaccin concerné, même si donné en combinaison (ex. DTC et hepB)
</t>
  </si>
  <si>
    <t>Indicateur systémique</t>
  </si>
  <si>
    <t>Réponse</t>
  </si>
  <si>
    <t>Votre pays dispose-t-il d'un plan pluriannuel global de vaccination ?</t>
  </si>
  <si>
    <r>
      <t xml:space="preserve">Si oui, </t>
    </r>
    <r>
      <rPr>
        <sz val="8"/>
        <rFont val="Verdana"/>
        <family val="2"/>
      </rPr>
      <t>quelles années couvre-t-il ?</t>
    </r>
  </si>
  <si>
    <t>Couverture
 &lt;50 %</t>
  </si>
  <si>
    <t>Couverture
 50–79 %</t>
  </si>
  <si>
    <t>Couverture
80–89 %</t>
  </si>
  <si>
    <t>Nb de nourrissons ayant survécu dans ces districts</t>
  </si>
  <si>
    <t>Nb de naissances vivantes dans ces districts</t>
  </si>
  <si>
    <t>Vaccin</t>
  </si>
  <si>
    <t>pouvoirs Publics</t>
  </si>
  <si>
    <t>vi_years</t>
  </si>
  <si>
    <t>target_group_vitA</t>
  </si>
  <si>
    <t>4020</t>
  </si>
  <si>
    <t>0010</t>
  </si>
  <si>
    <t>0020</t>
  </si>
  <si>
    <t>0040</t>
  </si>
  <si>
    <t>0050</t>
  </si>
  <si>
    <t>0060</t>
  </si>
  <si>
    <t>0070</t>
  </si>
  <si>
    <t>0080</t>
  </si>
  <si>
    <t>Jan</t>
  </si>
  <si>
    <t>Oct</t>
  </si>
  <si>
    <t>Nov</t>
  </si>
  <si>
    <t>Dec</t>
  </si>
  <si>
    <t>Rotavirus</t>
  </si>
  <si>
    <t>wastage</t>
  </si>
  <si>
    <t>ND</t>
  </si>
  <si>
    <t xml:space="preserve">C.
</t>
  </si>
  <si>
    <t xml:space="preserve">D.
</t>
  </si>
  <si>
    <t>E.</t>
  </si>
  <si>
    <t>BCG</t>
  </si>
  <si>
    <t>Hib</t>
  </si>
  <si>
    <t>Dip</t>
  </si>
  <si>
    <t>DT</t>
  </si>
  <si>
    <t>Td</t>
  </si>
  <si>
    <t>MenC_conj</t>
  </si>
  <si>
    <t>Men AC</t>
  </si>
  <si>
    <t>0030</t>
  </si>
  <si>
    <t>target_group</t>
  </si>
  <si>
    <t>Men ACW</t>
  </si>
  <si>
    <t>Pneumo_ps</t>
  </si>
  <si>
    <t>Vit A</t>
  </si>
  <si>
    <t>HepB3</t>
  </si>
  <si>
    <t>Hib3</t>
  </si>
  <si>
    <t>Tuvalu</t>
  </si>
  <si>
    <t>Ukraine</t>
  </si>
  <si>
    <t>Uruguay</t>
  </si>
  <si>
    <t>Vanuatu</t>
  </si>
  <si>
    <t>filename</t>
  </si>
  <si>
    <t>target_TT</t>
  </si>
  <si>
    <t>6010</t>
  </si>
  <si>
    <t>months</t>
  </si>
  <si>
    <t>days</t>
  </si>
  <si>
    <t>syear</t>
  </si>
  <si>
    <t>sia_years</t>
  </si>
  <si>
    <t>curency</t>
  </si>
  <si>
    <t>US $</t>
  </si>
  <si>
    <t>Viet Nam</t>
  </si>
  <si>
    <t>A.</t>
  </si>
  <si>
    <t>B.</t>
  </si>
  <si>
    <t>C.</t>
  </si>
  <si>
    <t>D.</t>
  </si>
  <si>
    <t>&lt;50%</t>
  </si>
  <si>
    <t>50–79%</t>
  </si>
  <si>
    <t>80–89%</t>
  </si>
  <si>
    <t>yes_no_part</t>
  </si>
  <si>
    <t>country name</t>
  </si>
  <si>
    <t>geo_area</t>
  </si>
  <si>
    <t>pick_cell_type</t>
  </si>
  <si>
    <t>vaccine_ procured</t>
  </si>
  <si>
    <t>B.
Date</t>
  </si>
  <si>
    <t>I.
TT2</t>
  </si>
  <si>
    <t>H.
TT1</t>
  </si>
  <si>
    <t>J.
TT3</t>
  </si>
  <si>
    <t>Instructions</t>
  </si>
  <si>
    <t>NITAG_membership</t>
  </si>
  <si>
    <t>membre permanent</t>
  </si>
  <si>
    <t>ad hoc</t>
  </si>
  <si>
    <t>Incin. à ciel ouvert</t>
  </si>
  <si>
    <t>Enfouissement</t>
  </si>
  <si>
    <t>Autres</t>
  </si>
  <si>
    <t xml:space="preserve">Titre complet de l'enquête dans la langue du rapport </t>
  </si>
  <si>
    <t>Titre complet  de l'enquête en anglais</t>
  </si>
  <si>
    <t>Année de la plus récente enquête</t>
  </si>
  <si>
    <t>8210-8310</t>
  </si>
  <si>
    <t>8210–8310 (D)</t>
  </si>
  <si>
    <r>
      <t>Bacille Calmette-Gu</t>
    </r>
    <r>
      <rPr>
        <b/>
        <sz val="8"/>
        <rFont val="Arial"/>
        <family val="2"/>
      </rPr>
      <t>é</t>
    </r>
    <r>
      <rPr>
        <b/>
        <sz val="8"/>
        <rFont val="Verdana"/>
        <family val="2"/>
      </rPr>
      <t>rin vaccine</t>
    </r>
  </si>
  <si>
    <t>Polio3</t>
  </si>
  <si>
    <t>Yes_no</t>
  </si>
  <si>
    <t>Afghanistan</t>
  </si>
  <si>
    <t>Angola</t>
  </si>
  <si>
    <t>Bahamas</t>
  </si>
  <si>
    <t>Bangladesh</t>
  </si>
  <si>
    <t>Botswana</t>
  </si>
  <si>
    <t>Burkina Faso</t>
  </si>
  <si>
    <t>Burundi</t>
  </si>
  <si>
    <t>Canada</t>
  </si>
  <si>
    <t>Congo</t>
  </si>
  <si>
    <t>Costa Rica</t>
  </si>
  <si>
    <t>Côte d'Ivoire</t>
  </si>
  <si>
    <t>Cuba</t>
  </si>
  <si>
    <t>Djibouti</t>
  </si>
  <si>
    <t>France</t>
  </si>
  <si>
    <t>Gabon</t>
  </si>
  <si>
    <t>Ghana</t>
  </si>
  <si>
    <t>Guatemala</t>
  </si>
  <si>
    <r>
      <t xml:space="preserve">D.
Population cible
</t>
    </r>
    <r>
      <rPr>
        <b/>
        <sz val="8"/>
        <rFont val="Verdana"/>
        <family val="2"/>
      </rPr>
      <t xml:space="preserve">
</t>
    </r>
  </si>
  <si>
    <r>
      <t xml:space="preserve">D.
Population cible
</t>
    </r>
    <r>
      <rPr>
        <sz val="8"/>
        <rFont val="Verdana"/>
        <family val="2"/>
      </rPr>
      <t xml:space="preserve">
</t>
    </r>
  </si>
  <si>
    <t>Un district est défini comme le 3ème niveau administratif (le pays est le 1er, la province/région, le 2ème).</t>
  </si>
  <si>
    <t>Guyana</t>
  </si>
  <si>
    <t>Honduras</t>
  </si>
  <si>
    <t>Iraq</t>
  </si>
  <si>
    <t>Kazakhstan</t>
  </si>
  <si>
    <t>Kenya</t>
  </si>
  <si>
    <t>Kiribati</t>
  </si>
  <si>
    <t>yes_no_NR_ND</t>
  </si>
  <si>
    <t>Luxembourg</t>
  </si>
  <si>
    <t>Madagascar</t>
  </si>
  <si>
    <t>Malawi</t>
  </si>
  <si>
    <t>Maldives</t>
  </si>
  <si>
    <t>Mali</t>
  </si>
  <si>
    <t>Monaco</t>
  </si>
  <si>
    <t>Mozambique</t>
  </si>
  <si>
    <t>Myanmar</t>
  </si>
  <si>
    <t>Nauru</t>
  </si>
  <si>
    <t>Nicaragua</t>
  </si>
  <si>
    <t>Niger</t>
  </si>
  <si>
    <t>Oman</t>
  </si>
  <si>
    <t>Pakistan</t>
  </si>
  <si>
    <t>Panama</t>
  </si>
  <si>
    <t>Paraguay</t>
  </si>
  <si>
    <t>Philippines</t>
  </si>
  <si>
    <t>Portugal</t>
  </si>
  <si>
    <t>Qatar</t>
  </si>
  <si>
    <t>Rwanda</t>
  </si>
  <si>
    <t>Samoa</t>
  </si>
  <si>
    <t>Seychelles</t>
  </si>
  <si>
    <t>Sierra Leone</t>
  </si>
  <si>
    <t>Sri Lanka</t>
  </si>
  <si>
    <t>Suriname</t>
  </si>
  <si>
    <t>Swaziland</t>
  </si>
  <si>
    <t>Togo</t>
  </si>
  <si>
    <t>Tonga</t>
  </si>
  <si>
    <t>8  Activités supplémentaires</t>
  </si>
  <si>
    <t>Les vaccins contenant l'antigène de la rougeole (MCV) sont le vaccin antirougeoleux, le vaccin antirougeoleux-antirubéoleux, le vaccin antirougeoleux-antiourlien-antirubéoleux, etc... Remplir les lignes concernant les MCV et le vaccin antirubéoleux, même s'ils ont été administrés en combinaison.</t>
  </si>
  <si>
    <t>6. Indicateurs du système de la vaccination</t>
  </si>
  <si>
    <t>Indiquer le nom de la personne chargée de soumettre le formulaire rempli. Plusieurs services du Ministère de la Santé pouvant détenir des données pertinentes, cette personne devra se mettre en rapport avec d'autres services afin que les renseignements donnés dans le formulaire soient les plus complets et les plus exacts possibles. Par exemple, les informations sur la vitamine A peuvent être obtenues auprès du service chargé de la nutrition.</t>
  </si>
  <si>
    <t>1. Cas notifiés de maladies évitables par la vaccination (sélection)</t>
  </si>
  <si>
    <t>Vaccination systématique à l'école (compléter une rangée par niveau/classe (ou âge scolaire) et par vaccin)</t>
  </si>
  <si>
    <t xml:space="preserve">"Groupe d'âge" indique le groupe d'âge cible pour le vaccin concerné. Compléter cette cellule si les enfants sont ciblés en fonction de leur âge sans tenir compte de leur niveau/classe. </t>
  </si>
  <si>
    <t>"# enfants cible" est le nombre d'enfants ciblés par la vaccination à l'école, pour chaque dose. Si la vaccination à l'école n'est pas donnée dans toutes les zones géographiques du pays, le nombre d'enfants cible est uniquement le nombre d'enfants vivant dans ces zones.</t>
  </si>
  <si>
    <t>sex</t>
  </si>
  <si>
    <t>féminin</t>
  </si>
  <si>
    <t>masculin</t>
  </si>
  <si>
    <t>"# vaccinés à l'école": le nombre d'enfants qui ont reçu cette dose dans les zones géographiques où la vaccination scolaire a été conduite.</t>
  </si>
  <si>
    <t>Compléter le tableau en utilisant une seule rangée par vaccin et par groupe cible. Par exemple: si le VAT et RR sont donnés en deuxième primaire et le VAT en 1ère secondaire, utiliser 3 rangées (VAT-deuxième primaire; RR-deuxième primaire; VAT-1ère secondaire); si le VAT et le RR sont donnés aux enfants de 8 ans, et si la VAT est donnée aux enfants de 14 ans, utiliser 3 rangées (VAT-8 ans; RR-8 ans; VAT-14 ans)</t>
  </si>
  <si>
    <t>"Autre(s) intervention(s) offertes avec la vaccination":  Mentionner toute autre intervention (p.ex. monitorage de la croissance, antiparasitaires,…) qui est offerte au même moment que la vaccination.</t>
  </si>
  <si>
    <t>3. Ecole et stratégies additionnelles</t>
  </si>
  <si>
    <t>Indiquer l'estimation officielle de la couverture vaccinale ou par la supplémentation (pour le vaccin antirougeoleux, le vaccin antiamaril, les vaccins contre la méningite, le vaccin antipoliomyélitique et la supplémentation en vitamine A). Ne PAS donner d'informations pour la vaccination antitétanique. Ces estimations peuvent provenir d'une enquête sur la couverture et donc différer du calcul administratif.</t>
  </si>
  <si>
    <t>Rubrique(s)</t>
  </si>
  <si>
    <r>
      <t xml:space="preserve">Dans certains pays, pour le DTC1, le DTC3, le Polio3, le HepB3, le Hib3 et le vaccin antiamaril, on utilise comme dénominateur officiel les naissances vivantes plutôt que les nourrissons ayant survécu, comme indiqué dans le tableau. Si tel est le cas dans votre pays, indiquez le dénominateur utilisé dans la colonne B.
Une estimation du nombre des </t>
    </r>
    <r>
      <rPr>
        <b/>
        <sz val="8"/>
        <rFont val="Verdana"/>
        <family val="2"/>
      </rPr>
      <t>nourrissons ayant survécu</t>
    </r>
    <r>
      <rPr>
        <sz val="8"/>
        <rFont val="Verdana"/>
        <family val="2"/>
      </rPr>
      <t xml:space="preserve"> peut être calculé en deduisant le nombre d'enfants décédés dans leur première année de vie du nombre d'enfants nés vivants dans cette même année.
Le nombre d'enfants décédés dans leur première année de vie peut être estimé en divisant le nombre de naissances par 1000 fois le taux de mortalite infantile (TMI), quand le taux de mortalité infantile est exprimé comme le nombre de nourrissons décédés pour 1000 naissances vivantes.
Par exemple, s'il y a 3064000 naissances vivantes et un taux de mortalite infantile de 110.
  3064000/1000*110= 337040 nourrissons décédés
  3064000 - 337040  =  2726960  nourrissons ayant survécu
Formule:   Naissance vivantes - (Naissance vivantes / 1000 * TMI)</t>
    </r>
  </si>
  <si>
    <r>
      <t xml:space="preserve">Ce tableau concerne la complétude de la </t>
    </r>
    <r>
      <rPr>
        <b/>
        <sz val="8"/>
        <rFont val="Verdana"/>
        <family val="2"/>
      </rPr>
      <t>notification au niveau des districts</t>
    </r>
    <r>
      <rPr>
        <sz val="8"/>
        <rFont val="Verdana"/>
        <family val="2"/>
      </rPr>
      <t>, c'est-à-dire du principal système de notification qui a permis d'obtenir les chiffres de couverture vaccinale figurant dans le tableau précédent. 
Le nombre de notifications attendues est égal au nombre de districts multiplié par le nombre de périodes de notification dans l'année.</t>
    </r>
  </si>
  <si>
    <t>WHO_r</t>
  </si>
  <si>
    <t>iso3ccode</t>
  </si>
  <si>
    <t>EMRO</t>
  </si>
  <si>
    <t>AFG</t>
  </si>
  <si>
    <t>AFRO</t>
  </si>
  <si>
    <t>ZAF</t>
  </si>
  <si>
    <t>Commentaires</t>
  </si>
  <si>
    <t>Merci d'avoir rempli le formulaire</t>
  </si>
  <si>
    <t>Si vous avez des commentaires, utilisez cette feuille pour les ajouter</t>
  </si>
  <si>
    <t>EURO</t>
  </si>
  <si>
    <t>ALB</t>
  </si>
  <si>
    <t>DZA</t>
  </si>
  <si>
    <t>DEU</t>
  </si>
  <si>
    <t>AND</t>
  </si>
  <si>
    <t>AGO</t>
  </si>
  <si>
    <t>AMRO</t>
  </si>
  <si>
    <t>ATG</t>
  </si>
  <si>
    <t>SAU</t>
  </si>
  <si>
    <t>ARG</t>
  </si>
  <si>
    <t>ARM</t>
  </si>
  <si>
    <t>WPRO</t>
  </si>
  <si>
    <t>AUS</t>
  </si>
  <si>
    <t>AUT</t>
  </si>
  <si>
    <t>AZE</t>
  </si>
  <si>
    <t>BHS</t>
  </si>
  <si>
    <t>BHR</t>
  </si>
  <si>
    <t>SEARO</t>
  </si>
  <si>
    <t>BGD</t>
  </si>
  <si>
    <t>BRB</t>
  </si>
  <si>
    <t>BLR</t>
  </si>
  <si>
    <t>BEL</t>
  </si>
  <si>
    <t>BLZ</t>
  </si>
  <si>
    <t>BEN</t>
  </si>
  <si>
    <t>BTN</t>
  </si>
  <si>
    <t>BOL</t>
  </si>
  <si>
    <t>BIH</t>
  </si>
  <si>
    <t>BWA</t>
  </si>
  <si>
    <t>BRA</t>
  </si>
  <si>
    <t>BRN</t>
  </si>
  <si>
    <t>BGR</t>
  </si>
  <si>
    <t>BFA</t>
  </si>
  <si>
    <t>BDI</t>
  </si>
  <si>
    <t>KHM</t>
  </si>
  <si>
    <t>CMR</t>
  </si>
  <si>
    <t>CAN</t>
  </si>
  <si>
    <t>CPV</t>
  </si>
  <si>
    <t>CHL</t>
  </si>
  <si>
    <t>CHN</t>
  </si>
  <si>
    <t>CYP</t>
  </si>
  <si>
    <t>Cis-Jordanie et Bande de Gaza</t>
  </si>
  <si>
    <t>PSE</t>
  </si>
  <si>
    <t>COL</t>
  </si>
  <si>
    <t>COM</t>
  </si>
  <si>
    <t>COG</t>
  </si>
  <si>
    <t>PRK</t>
  </si>
  <si>
    <t>KOR</t>
  </si>
  <si>
    <t>CRI</t>
  </si>
  <si>
    <t>CIV</t>
  </si>
  <si>
    <t>HRV</t>
  </si>
  <si>
    <t>CUB</t>
  </si>
  <si>
    <t>DNK</t>
  </si>
  <si>
    <t>DJI</t>
  </si>
  <si>
    <t>DMA</t>
  </si>
  <si>
    <t>EGY</t>
  </si>
  <si>
    <t>ARE</t>
  </si>
  <si>
    <t>ECU</t>
  </si>
  <si>
    <t>ERI</t>
  </si>
  <si>
    <t>ESP</t>
  </si>
  <si>
    <t>EST</t>
  </si>
  <si>
    <t>ETH</t>
  </si>
  <si>
    <t>USA</t>
  </si>
  <si>
    <t>MKD</t>
  </si>
  <si>
    <t>RUS</t>
  </si>
  <si>
    <t>FJI</t>
  </si>
  <si>
    <t>FIN</t>
  </si>
  <si>
    <t>FRA</t>
  </si>
  <si>
    <t>GAB</t>
  </si>
  <si>
    <t>GMB</t>
  </si>
  <si>
    <t>GEO</t>
  </si>
  <si>
    <t>GHA</t>
  </si>
  <si>
    <t>GRC</t>
  </si>
  <si>
    <t>GRD</t>
  </si>
  <si>
    <t>GTM</t>
  </si>
  <si>
    <t>GIN</t>
  </si>
  <si>
    <t>GNQ</t>
  </si>
  <si>
    <t>GNB</t>
  </si>
  <si>
    <t>GUY</t>
  </si>
  <si>
    <t>HTI</t>
  </si>
  <si>
    <t>HND</t>
  </si>
  <si>
    <t>HUN</t>
  </si>
  <si>
    <t>COK</t>
  </si>
  <si>
    <t>MHL</t>
  </si>
  <si>
    <t>SLB</t>
  </si>
  <si>
    <t>IND</t>
  </si>
  <si>
    <t>IDN</t>
  </si>
  <si>
    <t>IRN</t>
  </si>
  <si>
    <t>IRQ</t>
  </si>
  <si>
    <t>IRL</t>
  </si>
  <si>
    <t>ISL</t>
  </si>
  <si>
    <t>ISR</t>
  </si>
  <si>
    <t>ITA</t>
  </si>
  <si>
    <t>LBY</t>
  </si>
  <si>
    <t>JAM</t>
  </si>
  <si>
    <t>JPN</t>
  </si>
  <si>
    <t>JOR</t>
  </si>
  <si>
    <t>KAZ</t>
  </si>
  <si>
    <t>KEN</t>
  </si>
  <si>
    <t>KIR</t>
  </si>
  <si>
    <t>KWT</t>
  </si>
  <si>
    <t>KGZ</t>
  </si>
  <si>
    <t>LAO</t>
  </si>
  <si>
    <t>SLV</t>
  </si>
  <si>
    <t>LSO</t>
  </si>
  <si>
    <t>LVA</t>
  </si>
  <si>
    <t>LBN</t>
  </si>
  <si>
    <t>LBR</t>
  </si>
  <si>
    <t>LTU</t>
  </si>
  <si>
    <t>LUX</t>
  </si>
  <si>
    <t>MDG</t>
  </si>
  <si>
    <t>MYS</t>
  </si>
  <si>
    <t>MWI</t>
  </si>
  <si>
    <t>MDV</t>
  </si>
  <si>
    <t>MLI</t>
  </si>
  <si>
    <t>MLT</t>
  </si>
  <si>
    <t>MAR</t>
  </si>
  <si>
    <t>MUS</t>
  </si>
  <si>
    <t>MRT</t>
  </si>
  <si>
    <t>MEX</t>
  </si>
  <si>
    <t>FSM</t>
  </si>
  <si>
    <t>MDA</t>
  </si>
  <si>
    <t>MCO</t>
  </si>
  <si>
    <t>MNG</t>
  </si>
  <si>
    <t>MNE</t>
  </si>
  <si>
    <t>MOZ</t>
  </si>
  <si>
    <t>MMR</t>
  </si>
  <si>
    <t>NAM</t>
  </si>
  <si>
    <t>NRU</t>
  </si>
  <si>
    <t>NPL</t>
  </si>
  <si>
    <t>NIC</t>
  </si>
  <si>
    <t>NER</t>
  </si>
  <si>
    <t>NGA</t>
  </si>
  <si>
    <t>NIU</t>
  </si>
  <si>
    <t>NOR</t>
  </si>
  <si>
    <t>NZL</t>
  </si>
  <si>
    <t>OMN</t>
  </si>
  <si>
    <t>UGA</t>
  </si>
  <si>
    <t>UZB</t>
  </si>
  <si>
    <t>PAK</t>
  </si>
  <si>
    <t>PLW</t>
  </si>
  <si>
    <t>PAN</t>
  </si>
  <si>
    <t>PNG</t>
  </si>
  <si>
    <t>PRY</t>
  </si>
  <si>
    <t>NLD</t>
  </si>
  <si>
    <t>PER</t>
  </si>
  <si>
    <t>PHL</t>
  </si>
  <si>
    <t>POL</t>
  </si>
  <si>
    <t>PRT</t>
  </si>
  <si>
    <t>QAT</t>
  </si>
  <si>
    <t>SYR</t>
  </si>
  <si>
    <t>CAF</t>
  </si>
  <si>
    <t>COD</t>
  </si>
  <si>
    <t>DOM</t>
  </si>
  <si>
    <t>SVK</t>
  </si>
  <si>
    <t>CZE</t>
  </si>
  <si>
    <t>ROU</t>
  </si>
  <si>
    <t>GBR</t>
  </si>
  <si>
    <t>RWA</t>
  </si>
  <si>
    <t>LCA</t>
  </si>
  <si>
    <t>KNA</t>
  </si>
  <si>
    <t>SMR</t>
  </si>
  <si>
    <t>VCT</t>
  </si>
  <si>
    <t>WSM</t>
  </si>
  <si>
    <t>STP</t>
  </si>
  <si>
    <t>SEN</t>
  </si>
  <si>
    <t>SRB</t>
  </si>
  <si>
    <t>SYC</t>
  </si>
  <si>
    <t>SLE</t>
  </si>
  <si>
    <t>SGP</t>
  </si>
  <si>
    <t>SVN</t>
  </si>
  <si>
    <t>SOM</t>
  </si>
  <si>
    <t>SDN</t>
  </si>
  <si>
    <t>LKA</t>
  </si>
  <si>
    <t>SWE</t>
  </si>
  <si>
    <t>CHE</t>
  </si>
  <si>
    <r>
      <t>1</t>
    </r>
    <r>
      <rPr>
        <vertAlign val="superscript"/>
        <sz val="8"/>
        <rFont val="Verdana"/>
        <family val="2"/>
      </rPr>
      <t>er</t>
    </r>
    <r>
      <rPr>
        <sz val="8"/>
        <rFont val="Verdana"/>
        <family val="2"/>
      </rPr>
      <t xml:space="preserve"> contact grossesse</t>
    </r>
  </si>
  <si>
    <t>SUR</t>
  </si>
  <si>
    <t>SWZ</t>
  </si>
  <si>
    <t>TJK</t>
  </si>
  <si>
    <t>TZA</t>
  </si>
  <si>
    <t>TCD</t>
  </si>
  <si>
    <t>THA</t>
  </si>
  <si>
    <t>Timor-Leste</t>
  </si>
  <si>
    <t>TLS</t>
  </si>
  <si>
    <t>TGO</t>
  </si>
  <si>
    <t>TON</t>
  </si>
  <si>
    <t>TTO</t>
  </si>
  <si>
    <t>TUN</t>
  </si>
  <si>
    <t>TKM</t>
  </si>
  <si>
    <t>TUR</t>
  </si>
  <si>
    <t>TUV</t>
  </si>
  <si>
    <t>UKR</t>
  </si>
  <si>
    <t>URY</t>
  </si>
  <si>
    <t>VUT</t>
  </si>
  <si>
    <t>VEN</t>
  </si>
  <si>
    <t>VNM</t>
  </si>
  <si>
    <t>YEM</t>
  </si>
  <si>
    <t>ZMB</t>
  </si>
  <si>
    <t>ZWE</t>
  </si>
  <si>
    <t>Indiquer le nom de l'activité (par ex. : JNV, journée de distribution de micronutriments, jour de la santé de l'enfant ou semaine de vaccination) et le numéro du cycle (premier, deuxième ou troisième...). Si l'activité concernait plusieurs vaccins ou suppléments, utiliser une ligne distincte pour chacun.</t>
  </si>
  <si>
    <t>Pour les enfants, préciser la tranche d'âge ciblée.  Pour les femmes, préciser la tranche d'âge ciblée et indiquer si elles sont enceintes ou en âge de procréer.</t>
  </si>
  <si>
    <t>VAA</t>
  </si>
  <si>
    <t>Vaccin anti-tétanique</t>
  </si>
  <si>
    <t>Men A</t>
  </si>
  <si>
    <t>Supervision</t>
  </si>
  <si>
    <t xml:space="preserve">Rotavirus </t>
  </si>
  <si>
    <t>Courrier électronique</t>
  </si>
  <si>
    <t>1. Nombre de cas notifiés de certaines maladies évitables par la vaccination</t>
  </si>
  <si>
    <t>Vaccin antiméningococcique A conjugué</t>
  </si>
  <si>
    <t>Vaccination à l'école</t>
  </si>
  <si>
    <t>Une ou plusieurs vaccinations systématiques sont-elles données aux enfants en âge scolaire</t>
  </si>
  <si>
    <r>
      <t>(2) UNICEF (</t>
    </r>
    <r>
      <rPr>
        <i/>
        <sz val="10"/>
        <color indexed="12"/>
        <rFont val="Verdana"/>
        <family val="2"/>
      </rPr>
      <t xml:space="preserve">http://www.childinfo.org/Immunization.htm </t>
    </r>
    <r>
      <rPr>
        <i/>
        <sz val="10"/>
        <color indexed="60"/>
        <rFont val="Verdana"/>
        <family val="2"/>
      </rPr>
      <t>)</t>
    </r>
  </si>
  <si>
    <t>De quelles activités le programme PEV est-il responsible (non pas le personnel scolaire lui-même):</t>
  </si>
  <si>
    <t>Achat des vaccins</t>
  </si>
  <si>
    <t>Vaccinateurs</t>
  </si>
  <si>
    <t>Planification</t>
  </si>
  <si>
    <t>Ceci fait-il partie d'un programme de santé scolaire plus global offrant d'autres prestations de santé?</t>
  </si>
  <si>
    <t>A.
Niveau/ Classe</t>
  </si>
  <si>
    <t>B.
Groupe d'âge</t>
  </si>
  <si>
    <t>C. 
Sexe</t>
  </si>
  <si>
    <t>D. 
Zone géographique</t>
  </si>
  <si>
    <t>" niveau/classe" indique la classe ou le niveau cible pour le vaccin concerné. Compléter cette cellule si les enfants à l'école sont ciblés par classe ou niveau scolaire, sans tenir compte de l'âge. Utiliser le système local de dénomination des niveaux scolaires ou utiliser une échelle de 1 à 12 (1 étant la première année primaire, 2 la deuxième, etc).</t>
  </si>
  <si>
    <t>Antipneumococcique conjugué 1</t>
  </si>
  <si>
    <t>Antipneumococcique conjugué  3</t>
  </si>
  <si>
    <t>Rotavirus 1</t>
  </si>
  <si>
    <t>Rotavirus dernière dose 
(2 ou 3 selon le calendrier)</t>
  </si>
  <si>
    <t>Nb de districts dans chaque catégorie</t>
  </si>
  <si>
    <t xml:space="preserve">Antipneumococcique conjugué  </t>
  </si>
  <si>
    <t>Exemples:</t>
  </si>
  <si>
    <r>
      <t>1</t>
    </r>
    <r>
      <rPr>
        <b/>
        <vertAlign val="superscript"/>
        <sz val="8"/>
        <rFont val="Verdana"/>
        <family val="2"/>
      </rPr>
      <t>er</t>
    </r>
    <r>
      <rPr>
        <b/>
        <sz val="8"/>
        <rFont val="Verdana"/>
        <family val="2"/>
      </rPr>
      <t xml:space="preserve">
exemple</t>
    </r>
  </si>
  <si>
    <r>
      <t>A. 1</t>
    </r>
    <r>
      <rPr>
        <b/>
        <vertAlign val="superscript"/>
        <sz val="8"/>
        <rFont val="Verdana"/>
        <family val="2"/>
      </rPr>
      <t>ère</t>
    </r>
    <r>
      <rPr>
        <b/>
        <sz val="8"/>
        <rFont val="Verdana"/>
        <family val="2"/>
      </rPr>
      <t xml:space="preserve"> dose</t>
    </r>
  </si>
  <si>
    <r>
      <t>B. 2</t>
    </r>
    <r>
      <rPr>
        <b/>
        <vertAlign val="superscript"/>
        <sz val="8"/>
        <rFont val="Verdana"/>
        <family val="2"/>
      </rPr>
      <t>ème</t>
    </r>
    <r>
      <rPr>
        <b/>
        <sz val="8"/>
        <rFont val="Verdana"/>
        <family val="2"/>
      </rPr>
      <t xml:space="preserve"> dose</t>
    </r>
  </si>
  <si>
    <r>
      <t>C. 3</t>
    </r>
    <r>
      <rPr>
        <b/>
        <vertAlign val="superscript"/>
        <sz val="8"/>
        <rFont val="Verdana"/>
        <family val="2"/>
      </rPr>
      <t>ème</t>
    </r>
    <r>
      <rPr>
        <b/>
        <sz val="8"/>
        <rFont val="Verdana"/>
        <family val="2"/>
      </rPr>
      <t xml:space="preserve"> dose</t>
    </r>
  </si>
  <si>
    <r>
      <t>D. 4</t>
    </r>
    <r>
      <rPr>
        <b/>
        <vertAlign val="superscript"/>
        <sz val="8"/>
        <rFont val="Verdana"/>
        <family val="2"/>
      </rPr>
      <t>ème</t>
    </r>
    <r>
      <rPr>
        <b/>
        <sz val="8"/>
        <rFont val="Verdana"/>
        <family val="2"/>
      </rPr>
      <t xml:space="preserve"> dose</t>
    </r>
  </si>
  <si>
    <r>
      <t>E. 5</t>
    </r>
    <r>
      <rPr>
        <b/>
        <vertAlign val="superscript"/>
        <sz val="8"/>
        <rFont val="Verdana"/>
        <family val="2"/>
      </rPr>
      <t>ème</t>
    </r>
    <r>
      <rPr>
        <b/>
        <sz val="8"/>
        <rFont val="Verdana"/>
        <family val="2"/>
      </rPr>
      <t xml:space="preserve"> dose</t>
    </r>
  </si>
  <si>
    <r>
      <t>F. 6</t>
    </r>
    <r>
      <rPr>
        <b/>
        <vertAlign val="superscript"/>
        <sz val="8"/>
        <rFont val="Verdana"/>
        <family val="2"/>
      </rPr>
      <t>ème</t>
    </r>
    <r>
      <rPr>
        <b/>
        <sz val="8"/>
        <rFont val="Verdana"/>
        <family val="2"/>
      </rPr>
      <t xml:space="preserve"> dose</t>
    </r>
  </si>
  <si>
    <r>
      <t>2</t>
    </r>
    <r>
      <rPr>
        <b/>
        <vertAlign val="superscript"/>
        <sz val="8"/>
        <rFont val="Verdana"/>
        <family val="2"/>
      </rPr>
      <t>ème</t>
    </r>
    <r>
      <rPr>
        <b/>
        <sz val="8"/>
        <rFont val="Verdana"/>
        <family val="2"/>
      </rPr>
      <t xml:space="preserve">
exemple</t>
    </r>
  </si>
  <si>
    <t>Anatoxine tétanique</t>
  </si>
  <si>
    <t>à cellule entière</t>
  </si>
  <si>
    <t>acellulaire</t>
  </si>
  <si>
    <t>UNICEF, OMS ou OPS</t>
  </si>
  <si>
    <t>organisme donateur</t>
  </si>
  <si>
    <t>autres</t>
  </si>
  <si>
    <t>en partie</t>
  </si>
  <si>
    <t>year</t>
  </si>
  <si>
    <t>yes_no_NR</t>
  </si>
  <si>
    <t>Pneumoco_ conj</t>
  </si>
  <si>
    <t>Maladie</t>
  </si>
  <si>
    <t>Diphtérie</t>
  </si>
  <si>
    <t>Rougeole</t>
  </si>
  <si>
    <t>Tétanos néonatal</t>
  </si>
  <si>
    <t>Total tétanos (néonatal et autres)</t>
  </si>
  <si>
    <t>Coqueluche</t>
  </si>
  <si>
    <t>Fièvre jaune</t>
  </si>
  <si>
    <t>Encéphalite japonaise</t>
  </si>
  <si>
    <t>Oreillons</t>
  </si>
  <si>
    <t>Rubéole</t>
  </si>
  <si>
    <t>Syndrome de rubéole congénitale</t>
  </si>
  <si>
    <t>DTC</t>
  </si>
  <si>
    <t>DTCHepB</t>
  </si>
  <si>
    <t>DTCHepBVPI</t>
  </si>
  <si>
    <t>DTCHibHepB</t>
  </si>
  <si>
    <t>DTCHib</t>
  </si>
  <si>
    <t>DTPHib HepBVPI</t>
  </si>
  <si>
    <t>Filles</t>
  </si>
  <si>
    <t>Votre pays dispose-t-il d'un comité d'examen des manifestations postvaccinales indésirables?</t>
  </si>
  <si>
    <t>Y avait-il un système national de surveillance des manifestations postvaccinales indésirables?</t>
  </si>
  <si>
    <t>DTCVPI</t>
  </si>
  <si>
    <t>Diphtérie, tétanos et coqueluche</t>
  </si>
  <si>
    <t>Fev</t>
  </si>
  <si>
    <t xml:space="preserve">Diphtérie, tétanos, coqueluche et HepB </t>
  </si>
  <si>
    <t>Diphtérie, tétanos, coqueluche, Hib et HepB</t>
  </si>
  <si>
    <t xml:space="preserve">Diphtérie, anatoxine tétanique, coqueluche et vaccin anti-Hib </t>
  </si>
  <si>
    <t>Age recommandé pour l'administration du vaccin
(N=naissance ; J=jours ; S=semaines ; M=mois ; A=années)</t>
  </si>
  <si>
    <t>A. 1ère dose</t>
  </si>
  <si>
    <t>B. 2ème dose</t>
  </si>
  <si>
    <t>C. 3ème dose</t>
  </si>
  <si>
    <t>D. 4ème dose</t>
  </si>
  <si>
    <t>E. 5ème dose</t>
  </si>
  <si>
    <t>F. 6ème dose</t>
  </si>
  <si>
    <t>Mois</t>
  </si>
  <si>
    <t>Tétanos et diphtérie, dosage pédiatrique</t>
  </si>
  <si>
    <t>Tétanos et diphtérie pour enfants plus âgés et adultes</t>
  </si>
  <si>
    <t>C</t>
  </si>
  <si>
    <t>VPO</t>
  </si>
  <si>
    <t>VPI</t>
  </si>
  <si>
    <t>RO</t>
  </si>
  <si>
    <t>RR</t>
  </si>
  <si>
    <t>ROR</t>
  </si>
  <si>
    <t xml:space="preserve">Haemophilus influenza type b </t>
  </si>
  <si>
    <t>Vaccin antipoliomyélitique oral</t>
  </si>
  <si>
    <t>Vaccin antipoliomyélitique inactivé</t>
  </si>
  <si>
    <t>Rougeole et oreillons</t>
  </si>
  <si>
    <t>Rougeole et rubéole</t>
  </si>
  <si>
    <t>Rougeole, oreillons et rubéole</t>
  </si>
  <si>
    <t>Vaccin antiméningococcique C conjugué</t>
  </si>
  <si>
    <t xml:space="preserve">Antiméningococcique AC </t>
  </si>
  <si>
    <t xml:space="preserve">Antiméningococcique ACW </t>
  </si>
  <si>
    <t>Antipneumococcique conjugué</t>
  </si>
  <si>
    <t>Nb de souches :</t>
  </si>
  <si>
    <t>Typhoïde</t>
  </si>
  <si>
    <t>Varicelle</t>
  </si>
  <si>
    <t xml:space="preserve">Antipneumococcique polysaccharide </t>
  </si>
  <si>
    <t>Fièvre typhoïde</t>
  </si>
  <si>
    <t>Suppléments de vitamine A</t>
  </si>
  <si>
    <t>J.
Groupe cible</t>
  </si>
  <si>
    <t>4. Couverture vaccinale et supplémentation en vitamine A</t>
  </si>
  <si>
    <t>Vaccin/supplément</t>
  </si>
  <si>
    <t>Groupe cible utilisé comme dénominateur pour le calcul de la couverture</t>
  </si>
  <si>
    <r>
      <t xml:space="preserve">Effectifs du groupe cible
</t>
    </r>
    <r>
      <rPr>
        <i/>
        <sz val="8"/>
        <rFont val="Verdana"/>
        <family val="2"/>
      </rPr>
      <t>(dénominateur)</t>
    </r>
  </si>
  <si>
    <r>
      <t>Couverture en pourcentage</t>
    </r>
    <r>
      <rPr>
        <i/>
        <sz val="8"/>
        <rFont val="Verdana"/>
        <family val="2"/>
      </rPr>
      <t xml:space="preserve"> (=C/B*100)</t>
    </r>
  </si>
  <si>
    <t>Donner des informations distinctes pour chaque vaccin, même s'ils sont administrés en combinaison (par ex- : si le vaccin Pentavalent DTC-HepB-Hib est administré, remplir les données pour DTC3, HepB3 et Hib3)</t>
  </si>
  <si>
    <t>HepB, dose à la naissance (dans les 24 h)</t>
  </si>
  <si>
    <t>DTC1</t>
  </si>
  <si>
    <t>DTC3</t>
  </si>
  <si>
    <t>Polio3 (VPO ou VPI)</t>
  </si>
  <si>
    <t>les cellules à fond bleu proposent une liste de réponses (en choisir une)</t>
  </si>
  <si>
    <t>&lt;choisir une réponse&gt;</t>
  </si>
  <si>
    <t>DTCHibVPI</t>
  </si>
  <si>
    <t>&lt;Choisir une réponse&gt;</t>
  </si>
  <si>
    <t>Nombre de districts qui ne notifient pas</t>
  </si>
  <si>
    <t>Incinération</t>
  </si>
  <si>
    <t>Vaccin antiamaril</t>
  </si>
  <si>
    <t>Vitamine A , 1ère dose</t>
  </si>
  <si>
    <t>*</t>
  </si>
  <si>
    <t>Vaccin contre l'encéphalite japonaise</t>
  </si>
  <si>
    <t xml:space="preserve">Protection à la naissance contre le tétanos néonatal </t>
  </si>
  <si>
    <t xml:space="preserve">Exactitude des estimations de la couverture administrative </t>
  </si>
  <si>
    <t>4B. Enquêtes sur la couverture</t>
  </si>
  <si>
    <t xml:space="preserve">Une enquête sur la couverture est-elle prévue au cours des 24 prochains mois ? </t>
  </si>
  <si>
    <t>Vitamine A, 1ère dose</t>
  </si>
  <si>
    <t>Indicateur systématique</t>
  </si>
  <si>
    <t>Le groupe consultatif est-il investi d'un mandat officiel et écrit ?</t>
  </si>
  <si>
    <t>Le groupe consultatif repose-t-il sur une assise juridique ou administrative ?</t>
  </si>
  <si>
    <t>Les membres essentiels du groupe possèdent-ils les domaines de compétences suivants ?</t>
  </si>
  <si>
    <t>pédiatrie</t>
  </si>
  <si>
    <t>santé publique</t>
  </si>
  <si>
    <t>maladies infectieuses</t>
  </si>
  <si>
    <t>épidémiologie</t>
  </si>
  <si>
    <t>immunologie</t>
  </si>
  <si>
    <t>autres : veuillez préciser dans la colonne Explications</t>
  </si>
  <si>
    <t>Les membres du groupe consultatif doivent-ils révéler tout conflit d'intérêts ?</t>
  </si>
  <si>
    <t>Le groupe consultatif a-t-il un site ou une page Web ? Dans l'affirmative, mentionner l'adresse URL dans la case suivante (Explications).</t>
  </si>
  <si>
    <t xml:space="preserve">Le mandat met en évidence l'objectif du groupe. Il fait aussi office de charte qui définit les grandes lignes du mode de fonctionnement du groupe et le code de pratique des membres. </t>
  </si>
  <si>
    <t>Pour qu'un groupe consultatif soit officiellement approuvé et accepté par les pouvoirs publics, il doit reposer sur une assise juridique ou administrative sous la forme d'un décret ministériel ou de tout autre mécanisme approprié. Une telle démarche permet de confirmer la validité du groupe et d'instaurer la relation officielle entre le groupe consultatif et les autorités nationales.</t>
  </si>
  <si>
    <t>On remarquera que s'il est difficile de définir pleinement les compétences minimales requises, il est essentiel de souligner le besoin de compétences en pédiatrie, santé publique, maladies infectieuses, épidémiologie et immunologie. Le groupe consultatif peut disposer de compétences supplémentaires, ce qui est d'ailleurs utile.</t>
  </si>
  <si>
    <t>Bien que les groupes tiennent des réunions ad hoc le cas échéant, il est conseillé d'organiser des réunions à intervalles réguliers à des dates déterminées au préalable et au moins une fois par an. Grâce à ces dispositions, le groupe reste actif et les recommandations sont toujours actuelles. Ce système favorise des taux de participation plus élevés et permet aux membres de planifier leur engagement à l'avance dans leur calendrier.</t>
  </si>
  <si>
    <t>Arabie saoudite</t>
  </si>
  <si>
    <t>Bahreïn</t>
  </si>
  <si>
    <t>Belize</t>
  </si>
  <si>
    <t>Bolivie (État plurinational de)</t>
  </si>
  <si>
    <t>Brunéi Darussalam</t>
  </si>
  <si>
    <t>Emirats arabes unis</t>
  </si>
  <si>
    <t>Etats-Unis d'Amérique</t>
  </si>
  <si>
    <t>Ex République yougoslave de Macédoine</t>
  </si>
  <si>
    <t>Guinée équatoriale</t>
  </si>
  <si>
    <t>Iran (République islamique d')</t>
  </si>
  <si>
    <t>Israël</t>
  </si>
  <si>
    <t>Jamahiriya arabe libyenne</t>
  </si>
  <si>
    <t>Kirghizistan</t>
  </si>
  <si>
    <t>El Salvador</t>
  </si>
  <si>
    <t>Lesotho</t>
  </si>
  <si>
    <t>Mexique</t>
  </si>
  <si>
    <t>Micronésie (Étata fédérés de)</t>
  </si>
  <si>
    <t>Nioué</t>
  </si>
  <si>
    <t>Ouzbékistan</t>
  </si>
  <si>
    <t>Palaos</t>
  </si>
  <si>
    <t>Papouasie-Nouvelle-Guinée</t>
  </si>
  <si>
    <t>République arabe syrienne</t>
  </si>
  <si>
    <t>République Centrafricaine</t>
  </si>
  <si>
    <t>République de Corée</t>
  </si>
  <si>
    <t>République de Moldova</t>
  </si>
  <si>
    <t>République démocratique du Congo</t>
  </si>
  <si>
    <t>République démocratique populaire lao</t>
  </si>
  <si>
    <t>TdaP</t>
  </si>
  <si>
    <t>Tétanos, diphtérie et coqueluche acellulaire pour enfants plus âgés et adultes</t>
  </si>
  <si>
    <t>15+</t>
  </si>
  <si>
    <t>âge inconnu</t>
  </si>
  <si>
    <t>République Dominicaine</t>
  </si>
  <si>
    <t>République populaire démocratique de Corée</t>
  </si>
  <si>
    <t>Royaume-Uni de Grande-Bretagne et d'Irlande du Nord</t>
  </si>
  <si>
    <t>Saint-Kitts-et-Nevis</t>
  </si>
  <si>
    <t>Saint-Vincent-et-les Grenadines</t>
  </si>
  <si>
    <t>Serbie</t>
  </si>
  <si>
    <t>Slovaquie</t>
  </si>
  <si>
    <t>Thaïlande</t>
  </si>
  <si>
    <t>Turkménistan</t>
  </si>
  <si>
    <t>Venezuela (République bolivarienne du)</t>
  </si>
  <si>
    <t>Zimbabwe</t>
  </si>
  <si>
    <t>Vaccin/
supplément</t>
  </si>
  <si>
    <t>C.
Zone géographi-que</t>
  </si>
  <si>
    <t>E.
Effectifs estimés de la population cible</t>
  </si>
  <si>
    <t xml:space="preserve">F.
Nombre total de personnes vaccinées ou ayant reçu un supplément </t>
  </si>
  <si>
    <t>G.
Couverture
(%)</t>
  </si>
  <si>
    <r>
      <t xml:space="preserve">Nombre de personnes vaccinées contre le tétanos
</t>
    </r>
    <r>
      <rPr>
        <i/>
        <sz val="8"/>
        <rFont val="Verdana"/>
        <family val="2"/>
      </rPr>
      <t>(la somme des chiffres dans les colonnes doit être égale au nb total de personnes vaccinées)</t>
    </r>
  </si>
  <si>
    <t>K.
TT4 ou plus</t>
  </si>
  <si>
    <t>Année</t>
  </si>
  <si>
    <t>Retour à la rubri-que</t>
  </si>
  <si>
    <r>
      <t xml:space="preserve">Indiquer, dans ce tableau, la couverture vaccinale systématique en appliquant la </t>
    </r>
    <r>
      <rPr>
        <b/>
        <sz val="8"/>
        <rFont val="Verdana"/>
        <family val="2"/>
      </rPr>
      <t>méthode administrative</t>
    </r>
    <r>
      <rPr>
        <sz val="8"/>
        <rFont val="Verdana"/>
        <family val="2"/>
      </rPr>
      <t xml:space="preserve">, c'est-à-dire en utilisant les données enregistrées concernant le nombre de doses administrées. N'inclure que les doses administrées dans le cadre de la vaccination </t>
    </r>
    <r>
      <rPr>
        <b/>
        <sz val="8"/>
        <rFont val="Verdana"/>
        <family val="2"/>
      </rPr>
      <t>systématique</t>
    </r>
    <r>
      <rPr>
        <sz val="8"/>
        <rFont val="Verdana"/>
        <family val="2"/>
      </rPr>
      <t>, qui comprend parfois les campagnes périodiques destinées à accroître la couverture mais pas les campagnes de masse, ni les journées nationales de vaccination ni les autres activités supplémentaires. Les activités supplémentaires (vaccination et administration de vitamine A) doivent figurer à la section 8.</t>
    </r>
  </si>
  <si>
    <t xml:space="preserve">Dans ce tableau, la colonne A indique le groupe cible pour certains vaccins et certaines interventions, par exemple : nourrissons ayant survécu pour le DTC3. Lorsque le tableau ne donne pas d'indications, préciser quel est le groupe cible dans le pays, par exemple : les enfants de 6 ans pour le MCV2.
Bien entendu, dans certains pays les populations cibles peuvent être différentes de celles indiquées dans la colonne A (par exemple, le tableau indique les nourrissons ayant survécu comme cibles du vaccin antiamaril alors que, dans certains pays, ce vaccin est administré à l'ensemble de la population. Le tableau indique aussi que les femmes enceintes sont une cible de la TT2+ alors que, dans certains pays, l'anatoxine tétanique est administrée à toutes les femmes en âge de procréer). Toutefois, afin d'obtenir des informations standardisées et permettant de faire des comparaisons entre les pays, nous vous demandons de fournir les chiffres relatifs aux populations cibles indiquées à la colonne A. </t>
  </si>
  <si>
    <t>Nourrisons ayant survécu</t>
  </si>
  <si>
    <t>6 - 59 mois</t>
  </si>
  <si>
    <t>12 -59 mois</t>
  </si>
  <si>
    <t>Femmes enceintes</t>
  </si>
  <si>
    <t>Le nombre de naissances vivantes peut servir d'indicateur indirect du nombre total de femmes enceintes.</t>
  </si>
  <si>
    <r>
      <t>Les estimations administratives de la couverture peuvent être biaisées si les numérateurs et/ou les dénominateurs sont inexacts. Indiquer dans l'espace prévu à cet effet les facteurs en raison desquels les estimations de la couverture indiquées dans le tableau peuvent être inexactes. Quelques problèmes courants sont énumérés ci-après.
Le</t>
    </r>
    <r>
      <rPr>
        <b/>
        <i/>
        <sz val="8"/>
        <rFont val="Verdana"/>
        <family val="2"/>
      </rPr>
      <t xml:space="preserve"> numérateur</t>
    </r>
    <r>
      <rPr>
        <sz val="8"/>
        <rFont val="Verdana"/>
        <family val="2"/>
      </rPr>
      <t xml:space="preserve"> peut être :
  - sous-estimé car la notification par les unités responsables est incomplète ou parce que d'autres sources s'occupant de la vaccination (secteur privé ou ONG, par exemple) ont été exclues ;
  - surestimé parce que les unités responsables ont notifié à l'excès (elles ont par exemple inclus d'autres groupes cibles).
Au niveau du </t>
    </r>
    <r>
      <rPr>
        <b/>
        <i/>
        <sz val="8"/>
        <rFont val="Verdana"/>
        <family val="2"/>
      </rPr>
      <t>dénominateur</t>
    </r>
    <r>
      <rPr>
        <sz val="8"/>
        <rFont val="Verdana"/>
        <family val="2"/>
      </rPr>
      <t>, les problèmes peuvent être liés :
  - aux mouvements de population ;
  - à des estimations ou des projections démographiques inexactes ;
  - à la multiplicité des sources de données.</t>
    </r>
  </si>
  <si>
    <t>mixte</t>
  </si>
  <si>
    <t>Indiquer les facteurs en raison desquels le numérateur n'est pas totalement exact</t>
  </si>
  <si>
    <t>F.</t>
  </si>
  <si>
    <t>Couverture
90-94%</t>
  </si>
  <si>
    <r>
      <t xml:space="preserve">Couverture
</t>
    </r>
    <r>
      <rPr>
        <b/>
        <u val="single"/>
        <sz val="8"/>
        <rFont val="Verdana"/>
        <family val="2"/>
      </rPr>
      <t>&gt;</t>
    </r>
    <r>
      <rPr>
        <b/>
        <sz val="8"/>
        <rFont val="Verdana"/>
        <family val="2"/>
      </rPr>
      <t xml:space="preserve"> 95%</t>
    </r>
  </si>
  <si>
    <t>90-94%</t>
  </si>
  <si>
    <r>
      <t>&gt;</t>
    </r>
    <r>
      <rPr>
        <b/>
        <sz val="8"/>
        <rFont val="Verdana"/>
        <family val="2"/>
      </rPr>
      <t xml:space="preserve"> 95%</t>
    </r>
  </si>
  <si>
    <t>DTC vaccins</t>
  </si>
  <si>
    <t>6.  Indicateurs systémiques sur la vaccination</t>
  </si>
  <si>
    <t>Taux d'abandon = (DTC1−DTC3) x 100 / DTC1</t>
  </si>
  <si>
    <t xml:space="preserve"> </t>
  </si>
  <si>
    <t>8. Activités de vaccination supplémentaire</t>
  </si>
  <si>
    <t>Noter toute activité de vaccination supplémentaire, notamment la supplémentation en vitamine A ou en fer, l'administration de vermifuge et la distribution de moustiquaires imprégnées.</t>
  </si>
  <si>
    <t>Tests en laboratoire</t>
  </si>
  <si>
    <t>Albanie</t>
  </si>
  <si>
    <t>Algérie</t>
  </si>
  <si>
    <t>Andorre</t>
  </si>
  <si>
    <t>Antigua-et-Barbuda</t>
  </si>
  <si>
    <t>Argentine</t>
  </si>
  <si>
    <t>Arménie</t>
  </si>
  <si>
    <t>Australie</t>
  </si>
  <si>
    <t>Autriche</t>
  </si>
  <si>
    <t>Azerbaidjan</t>
  </si>
  <si>
    <t>Barbade</t>
  </si>
  <si>
    <t>Belgique</t>
  </si>
  <si>
    <t>Bénin</t>
  </si>
  <si>
    <t>Bhoutan</t>
  </si>
  <si>
    <t>Bosnie-Herzégovine</t>
  </si>
  <si>
    <t>Bélarus</t>
  </si>
  <si>
    <t>Brésil</t>
  </si>
  <si>
    <t>Bulgarie</t>
  </si>
  <si>
    <t>Cameroun</t>
  </si>
  <si>
    <t>Cambodge</t>
  </si>
  <si>
    <t>Tchad</t>
  </si>
  <si>
    <t>Chili</t>
  </si>
  <si>
    <t>Chine</t>
  </si>
  <si>
    <t>Iles Cook</t>
  </si>
  <si>
    <t>Colombie</t>
  </si>
  <si>
    <t>Comores</t>
  </si>
  <si>
    <t>Croatie</t>
  </si>
  <si>
    <t>Chypre</t>
  </si>
  <si>
    <t>République tchèque</t>
  </si>
  <si>
    <t>Danemark</t>
  </si>
  <si>
    <t>Allemagne</t>
  </si>
  <si>
    <t>Dominique</t>
  </si>
  <si>
    <t>Equateur</t>
  </si>
  <si>
    <t>Egypte</t>
  </si>
  <si>
    <t>Erythrée</t>
  </si>
  <si>
    <t>Estonie</t>
  </si>
  <si>
    <t>Ethiopie</t>
  </si>
  <si>
    <t>Fidji</t>
  </si>
  <si>
    <t>Finlande</t>
  </si>
  <si>
    <t>Gambie</t>
  </si>
  <si>
    <t>Géorgie</t>
  </si>
  <si>
    <t>Grenade</t>
  </si>
  <si>
    <t>Grèce</t>
  </si>
  <si>
    <t>Guinée-Bissau</t>
  </si>
  <si>
    <t>Guinée</t>
  </si>
  <si>
    <t>Haïti</t>
  </si>
  <si>
    <t>Hongrie</t>
  </si>
  <si>
    <t>Islande</t>
  </si>
  <si>
    <t>Inde</t>
  </si>
  <si>
    <t>Indonésie</t>
  </si>
  <si>
    <t>Irlande</t>
  </si>
  <si>
    <t>Italie</t>
  </si>
  <si>
    <t>Jamaïque</t>
  </si>
  <si>
    <t>Jordanie</t>
  </si>
  <si>
    <t>Japon</t>
  </si>
  <si>
    <t>Koweit</t>
  </si>
  <si>
    <t>Liban</t>
  </si>
  <si>
    <t>Libéria</t>
  </si>
  <si>
    <t>Lituanie</t>
  </si>
  <si>
    <t>Lettonie</t>
  </si>
  <si>
    <t>Malaisie</t>
  </si>
  <si>
    <t>Maurice</t>
  </si>
  <si>
    <t>Malte</t>
  </si>
  <si>
    <t>Mauritanie</t>
  </si>
  <si>
    <t>Monténégro</t>
  </si>
  <si>
    <t>Mongolie</t>
  </si>
  <si>
    <t>Maroc</t>
  </si>
  <si>
    <t>Iles Marshall</t>
  </si>
  <si>
    <t>Namibie</t>
  </si>
  <si>
    <t>Népal</t>
  </si>
  <si>
    <t>Pays-Bas</t>
  </si>
  <si>
    <t>Nouvelle-Zélande</t>
  </si>
  <si>
    <t>Nigéria</t>
  </si>
  <si>
    <t>Norvège</t>
  </si>
  <si>
    <t>Pérou</t>
  </si>
  <si>
    <t>Pologne</t>
  </si>
  <si>
    <t>Roumanie</t>
  </si>
  <si>
    <t>Fédération de Russie</t>
  </si>
  <si>
    <t>Sainte-Lucie</t>
  </si>
  <si>
    <t>Sénégal</t>
  </si>
  <si>
    <t>Singapour</t>
  </si>
  <si>
    <t>Saint-Marin</t>
  </si>
  <si>
    <t>Afrique du Sud</t>
  </si>
  <si>
    <t>Iles Salomon</t>
  </si>
  <si>
    <t>Somalie</t>
  </si>
  <si>
    <t>Espagne</t>
  </si>
  <si>
    <t>Sao Tomé-et-Principe</t>
  </si>
  <si>
    <t>Soudan</t>
  </si>
  <si>
    <t>Slovénie</t>
  </si>
  <si>
    <t>Suède</t>
  </si>
  <si>
    <t>Suisse</t>
  </si>
  <si>
    <t>Tanzanie</t>
  </si>
  <si>
    <t>Tadjikistan</t>
  </si>
  <si>
    <t>Trinité-et-Tobago</t>
  </si>
  <si>
    <t>Tunisie</t>
  </si>
  <si>
    <t>Turquie</t>
  </si>
  <si>
    <t>Ouganda</t>
  </si>
  <si>
    <t>Yémen</t>
  </si>
  <si>
    <t>Zambie</t>
  </si>
  <si>
    <t>Mars</t>
  </si>
  <si>
    <t>Avr</t>
  </si>
  <si>
    <t>Mai</t>
  </si>
  <si>
    <t>Juin</t>
  </si>
  <si>
    <t>Juill</t>
  </si>
  <si>
    <t>Août</t>
  </si>
  <si>
    <t>Sept</t>
  </si>
  <si>
    <t>Naissances vivantes</t>
  </si>
  <si>
    <t>Quel est le type d'enquête prévu ? (par ex. : MICS, EDS, PEV, ou ECV)</t>
  </si>
  <si>
    <r>
      <t>Estimation officielle</t>
    </r>
    <r>
      <rPr>
        <i/>
        <sz val="8"/>
        <rFont val="Verdana"/>
        <family val="2"/>
      </rPr>
      <t xml:space="preserve"> (en pourcentage de couverture)</t>
    </r>
  </si>
  <si>
    <t>Planification et gestion</t>
  </si>
  <si>
    <r>
      <t>Ce classeur</t>
    </r>
    <r>
      <rPr>
        <i/>
        <sz val="10"/>
        <color indexed="57"/>
        <rFont val="Verdana"/>
        <family val="2"/>
      </rPr>
      <t xml:space="preserve"> </t>
    </r>
    <r>
      <rPr>
        <i/>
        <sz val="10"/>
        <color indexed="60"/>
        <rFont val="Verdana"/>
        <family val="2"/>
      </rPr>
      <t>d'Excel vous permet de faire des opérations mathématiques courantes (addition ou multiplication) dans les cellules.</t>
    </r>
  </si>
  <si>
    <t>S6</t>
  </si>
  <si>
    <t>S10</t>
  </si>
  <si>
    <t>S14</t>
  </si>
  <si>
    <t>+M1</t>
  </si>
  <si>
    <t>+M6</t>
  </si>
  <si>
    <t>+A1</t>
  </si>
  <si>
    <t>6150</t>
  </si>
  <si>
    <t>6160</t>
  </si>
  <si>
    <t>monitorage de routine</t>
  </si>
  <si>
    <t>étude sur le taux de pertes</t>
  </si>
  <si>
    <t>Vaccins/fournitures</t>
  </si>
  <si>
    <t>Stock au niveau national</t>
  </si>
  <si>
    <t>Stocks au niveau des districts</t>
  </si>
  <si>
    <t>B.
Si oui, spécifier la durée ( en nombre de mois)</t>
  </si>
  <si>
    <t>Vaccin contenant l'antigène de l'Hépatite B</t>
  </si>
  <si>
    <t>Vaccin contenant l'antigène du Hib</t>
  </si>
  <si>
    <t>Vaccin contenant l'antigène de la rougeole</t>
  </si>
  <si>
    <t>Fièvre jaune (vaccin antiamaril)</t>
  </si>
  <si>
    <t>VAT</t>
  </si>
  <si>
    <t>Page de couverture</t>
  </si>
  <si>
    <t>Oui</t>
  </si>
  <si>
    <t>Non</t>
  </si>
  <si>
    <t>Concerne les enfants protégés contre le tétanos néonatal à la naissance en raison du statut vaccinal de la mère ou des modalités d'accouchement. Cette information est recueillie au cours de la visite pour l'administration du DTC1. Si la protection à la naissance n'est pas calculée dans le pays, laisser la ligne en blanc.</t>
  </si>
  <si>
    <t>Concerne la troisième dose de vaccin antipoliomyélitique, à l'exception de la dose 0 (zéro), si l'administration de cette dose est prévue dans le calendrier national.</t>
  </si>
  <si>
    <t>monnaie locale</t>
  </si>
  <si>
    <r>
      <t>Un système national doit posséder</t>
    </r>
    <r>
      <rPr>
        <b/>
        <sz val="8"/>
        <rFont val="Verdana"/>
        <family val="2"/>
      </rPr>
      <t xml:space="preserve"> TOUS</t>
    </r>
    <r>
      <rPr>
        <sz val="8"/>
        <rFont val="Verdana"/>
        <family val="2"/>
      </rPr>
      <t xml:space="preserve"> les éléments suivants :
1) des principes directeurs écrits sur le suivi et l'étude des manifestations indésirables notifiées ; 
2) une liste écrite des manifestations devant faire l'objet d'un suivi ; 
3) un mécanisme permettant de communiquer des données en vue de prendre des mesures réglementaires.
4) et appliquer ou utiliser les 3 éléments ci-dessus.
Si ces quatre conditions ne sont pas remplies, choisir "non".</t>
    </r>
  </si>
  <si>
    <r>
      <t xml:space="preserve">Ne donner </t>
    </r>
    <r>
      <rPr>
        <b/>
        <sz val="8"/>
        <rFont val="Verdana"/>
        <family val="2"/>
      </rPr>
      <t>que</t>
    </r>
    <r>
      <rPr>
        <sz val="8"/>
        <rFont val="Verdana"/>
        <family val="2"/>
      </rPr>
      <t xml:space="preserve"> les doses de vaccin anti-hépatite B données dans les 24 heures suivant la naissance. Si l'heure extacte de la naissance est inconnue, ne donner que les doses de vaccin anti-hépatite B données le premier jour de vie. (Par exemple, pour les enfants nés le jour 0, il faut inclure toutes les doses administrées les jours 0 et 1). Cet indicateur n'est pas identique à l' HepB1.</t>
    </r>
  </si>
  <si>
    <t>Dans les pays qui utilisent le vaccin monovalent pour toutes les doses, il s'agit ici de la 3ème dose du vaccin anti-hépatite B, la dose administrée à la naissance comprise, si cette dose est prévue dans le calendrier national.
Dans les pays qui utilisent le vaccin monovalent pour la dose administrée à la naissance et un vaccin combiné pour les doses suivantes, HepB3 se réfère à la 3ème dose du vaccin combiné, en plus de la dose administrée à la naissance.</t>
  </si>
  <si>
    <t>Fournir une estimation distincte pour chaque vaccin ou supplément, même s'ils ont été administrés en combinaison (par ex. : si le vaccin Pentavalent DTC-HepB-Hib est administré, remplir les données pour DTC3, HepB3 et Hib3).</t>
  </si>
  <si>
    <t>8010–8200</t>
  </si>
  <si>
    <t>8010–8200 (A)</t>
  </si>
  <si>
    <t>8010-8200
(D)</t>
  </si>
  <si>
    <t>8010–8200 (G)</t>
  </si>
  <si>
    <t>8210–8310 (A)</t>
  </si>
  <si>
    <t>Sud Soudan</t>
  </si>
  <si>
    <t>SSD</t>
  </si>
  <si>
    <t>1010–1100 (A)</t>
  </si>
  <si>
    <t>1010–1100 (B)</t>
  </si>
  <si>
    <t>HepB_Adulte</t>
  </si>
  <si>
    <t>HepB_Pédiatrique</t>
  </si>
  <si>
    <t>Hépatite B pour adultes</t>
  </si>
  <si>
    <t>Hépatite B pédiatrique</t>
  </si>
  <si>
    <t>Grippe_Adulte</t>
  </si>
  <si>
    <t>Grippe_Pédiatrique</t>
  </si>
  <si>
    <t>Grippe saisonnière pour adultes</t>
  </si>
  <si>
    <t>Grippe saisonnière pédiatrique</t>
  </si>
  <si>
    <t>Encéphalite japonaise (vaccin vivant atténué)</t>
  </si>
  <si>
    <t>Encéphalite japonaise (vaccin inactivé)</t>
  </si>
  <si>
    <t>EJ_VivantAtténué</t>
  </si>
  <si>
    <t>EJ_Inactivé</t>
  </si>
  <si>
    <r>
      <t xml:space="preserve">Si </t>
    </r>
    <r>
      <rPr>
        <b/>
        <sz val="8"/>
        <rFont val="Verdana"/>
        <family val="2"/>
      </rPr>
      <t>oui</t>
    </r>
    <r>
      <rPr>
        <sz val="8"/>
        <rFont val="Verdana"/>
        <family val="2"/>
      </rPr>
      <t>, répondez aux questions 3010-3180; sinon, allez à la feuille suivante</t>
    </r>
  </si>
  <si>
    <t>G. 
Autre(s) intervention(s) offertes avec la vaccination</t>
  </si>
  <si>
    <t>Couverture administrative rapportée</t>
  </si>
  <si>
    <t>Antipneumococcique conjugué 2</t>
  </si>
  <si>
    <t>Complétude de reportage au niveau des districts</t>
  </si>
  <si>
    <t>Indiquer les facteurs en raison desquels le nombre de doses n'est pas totalement exact</t>
  </si>
  <si>
    <r>
      <t xml:space="preserve">E.
Effectifs du groupe cible
</t>
    </r>
    <r>
      <rPr>
        <i/>
        <sz val="8"/>
        <rFont val="Verdana"/>
        <family val="2"/>
      </rPr>
      <t>(dénominateur)</t>
    </r>
  </si>
  <si>
    <r>
      <t xml:space="preserve">F. 
Nombre de doses administrées à l'école
</t>
    </r>
    <r>
      <rPr>
        <sz val="8"/>
        <rFont val="Verdana"/>
        <family val="2"/>
      </rPr>
      <t>(numérateur)</t>
    </r>
  </si>
  <si>
    <t>Courrier électronique du contact à l'UNICEF</t>
  </si>
  <si>
    <t>Courrier électronique du contact à l'OMS</t>
  </si>
  <si>
    <t>6060</t>
  </si>
  <si>
    <t>6070</t>
  </si>
  <si>
    <t>6170</t>
  </si>
  <si>
    <t>Approvisionnement pour la vaccination systématique</t>
  </si>
  <si>
    <t>Sécurité  - données</t>
  </si>
  <si>
    <t>Financement - données</t>
  </si>
  <si>
    <t>6490</t>
  </si>
  <si>
    <t>6500</t>
  </si>
  <si>
    <t>6510</t>
  </si>
  <si>
    <t>G-H.
Introduction prévue</t>
  </si>
  <si>
    <t xml:space="preserve">I.
Zone géo-graphique
</t>
  </si>
  <si>
    <t>Un ordre du jour pour chaque réunion du groupe consultatif doit être distribué à l'avance à tous les membres afin qu'ils puissent convenablement les préparer. Idéalement, les documents de références doivent être aussi distribués avant les réunions afin que les membres soient mis au courant des dernières activités de recherche menées sur le thème. La distribution de ce matériel facilite la tenue de débats avisés et bien équilibrés, tant que les membres reçoivent les informations suffisamment longtemps avant la réunion.</t>
  </si>
  <si>
    <t>Afin d'assurer la transparence et d'éviter tout conflit d'intérêts autant que possible, les groupes consultatifs doivent demander à l'ensemble de leurs membres de déclarer leurs intérêts préalablement à leur nomination officielle. On parle de conflit d'intérêts lorsqu'un membre possède un investissement personnel, mène des activités ou entretient une relation susceptibles d'influencer, ou semblant influencer, leurs responsabilités envers le groupe consultatif. Tout conflit d'intérêts, qu'il soit réel ou perçu, peut compromettre la qualité des recommandations émises par le groupe, ainsi que la réputation et l'intégrité du groupe consultatif. Il peut aussi remettre en question la crédibilité du groupe, même s'il n'exerce aucun impact sur les recommandations. Par conséquent, les intérêts doivent être déclarés préalablement à la désignation officielle de la personne concernée en tant que membre constitutif. La désignation ne doit avoir lieu que si la personne est considérée comme expert(e) indépendant(e) de sorte que ses intérêts ne portent pas atteinte à l'intégrité du groupe consultatif.</t>
  </si>
  <si>
    <t>L'OMS encourage l'échange des données d'expérience entre les pays et leur groupe consultatif. Afin de faciliter ce processus, l'OMS voudrait communiquer les URL des groupes consultatifs aux autres groupes intéressés.</t>
  </si>
  <si>
    <t>H.
Doses enregistrées dans les carnets de vaccination ou de santé de l'enfant</t>
  </si>
  <si>
    <t>Vaccin administré (âge en années)</t>
  </si>
  <si>
    <t>Le comité d'examen des manifestations post-vaccinales indésirables est un comité indépendant d'experts reconnus qui émet des avis et des recommandations techniques pour le gouvernement en ce qui concerne les questions relatives à la sécurité de la vaccination. Le comité d'examen des manifestations post-vaccinales indésirables est un outil qui permet au gouvernement d'évaluer les problèmes relatifs à la sécurité vaccinale grâce à une procédure transparente et systématique. Ces comités sont composés d'experts nationaux reconnus, indépendants des programmes de vaccination et des autorités nationales de régulation et leur fonction principale doit être de produire des recommandations techniques. Notez que les pays qui ont un comité ad hoc doivent choisir la réponse "non", parce que la question est relative aux comités existant de façon standard.</t>
  </si>
  <si>
    <t>Cabo Verde</t>
  </si>
  <si>
    <r>
      <t xml:space="preserve"> (1) OMS (</t>
    </r>
    <r>
      <rPr>
        <i/>
        <sz val="10"/>
        <color indexed="12"/>
        <rFont val="Verdana"/>
        <family val="2"/>
      </rPr>
      <t>http://www.who.int/immunization/monitoring_surveillance/data/en/</t>
    </r>
    <r>
      <rPr>
        <i/>
        <sz val="10"/>
        <color indexed="60"/>
        <rFont val="Verdana"/>
        <family val="2"/>
      </rPr>
      <t xml:space="preserve"> )</t>
    </r>
  </si>
  <si>
    <t>Etat de Palestine</t>
  </si>
  <si>
    <t>Nom du contact à l'UNICEF (Nom du contact à l'UNICEF dans le bureau de l'UNICEF s'il existe)</t>
  </si>
  <si>
    <t xml:space="preserve">Total des cas confirmés; inclut les cas confirmés par des résultats de laboratoire, sur base épidémiologique plus les cas cliniques rapportés sans test de laboratoire ou base épidémiologique. </t>
  </si>
  <si>
    <t>1060 (D)</t>
  </si>
  <si>
    <t>3060-3170</t>
  </si>
  <si>
    <t>3060-3170
(A)</t>
  </si>
  <si>
    <t>3060-3170
(B)</t>
  </si>
  <si>
    <t>3060-3170
(E)</t>
  </si>
  <si>
    <t>3060-3170
(F)</t>
  </si>
  <si>
    <t>3060-3170
(G)</t>
  </si>
  <si>
    <t>DTC4, 1er rappel</t>
  </si>
  <si>
    <t>&lt;Entrer la population cible&gt;</t>
  </si>
  <si>
    <t>1ère dose du Vaccin antipoliomyélitique inactivé (VPI1)</t>
  </si>
  <si>
    <t>Vaccin contenant l'antigène de la rougeole, 1ère dose (MCV1)</t>
  </si>
  <si>
    <t>Vaccin contenant l'antigène de la rougeole, 2ème dose (MCV2)</t>
  </si>
  <si>
    <t xml:space="preserve">Anatoxine tétanique (TT2+/Td2+) </t>
  </si>
  <si>
    <t xml:space="preserve">Indiquer les facteurs en raison desquels le dénominateur n'est pas totalement exact </t>
  </si>
  <si>
    <t>4010–4220 (B)</t>
  </si>
  <si>
    <t>4080</t>
  </si>
  <si>
    <t>Anatoxine tétanique (TT2+/Td2+) pour femmes enceintes</t>
  </si>
  <si>
    <t>Est-ce que le programme de la vaccination dispose d'un plan pluriannuel complet pour l'amélioration de la chaine d'approvisionnement</t>
  </si>
  <si>
    <t>6080</t>
  </si>
  <si>
    <t>6180</t>
  </si>
  <si>
    <t>Nb de districts avec la rougeole (MCV1) dans chaque catégorie</t>
  </si>
  <si>
    <t>Nb de districts avec la rougeole (MCV2) dans chaque catégorie</t>
  </si>
  <si>
    <r>
      <t>Poliomyélite</t>
    </r>
    <r>
      <rPr>
        <sz val="8"/>
        <rFont val="Verdana"/>
        <family val="2"/>
      </rPr>
      <t xml:space="preserve"> (VPO)</t>
    </r>
  </si>
  <si>
    <r>
      <t xml:space="preserve">Poliomyélite </t>
    </r>
    <r>
      <rPr>
        <sz val="8"/>
        <rFont val="Verdana"/>
        <family val="2"/>
      </rPr>
      <t>(VPI)</t>
    </r>
  </si>
  <si>
    <t>yes_no_ND</t>
  </si>
  <si>
    <t>6450</t>
  </si>
  <si>
    <t>6460</t>
  </si>
  <si>
    <t>à l’OMS/UNICEF (formulaire commun OMS/UNICEF de notification sur la vaccination)</t>
  </si>
  <si>
    <t>Quelle est l’organisation chargée de financer les documents de santé de l’enfant conservés à domicile dans votre pays ? (Note : Si le secteur privé imprime et distribue un document de vaccination distinct de celui délivré par les pouvoirs publics (à l’échelon national ou local), mentionnez-le dans la rubrique « divers » en ajoutant une remarque explicative.)</t>
  </si>
  <si>
    <t>PEV/Ministère de la santé</t>
  </si>
  <si>
    <t>L’impression des documents de vaccination de l’enfant conservés à domicile relève-t-elle du programme national (Programme élargi de vaccination ou Ministère de la santé) ?</t>
  </si>
  <si>
    <t>2. Documents conservés à domicile</t>
  </si>
  <si>
    <r>
      <t xml:space="preserve">Remplir cette section si dans votre pays une ou plusieurs vaccinations systématiques sont données aux enfants en âge scolaire, utilisant l'enceinte de l'école </t>
    </r>
    <r>
      <rPr>
        <u val="single"/>
        <sz val="8"/>
        <color indexed="60"/>
        <rFont val="Verdana"/>
        <family val="2"/>
      </rPr>
      <t>comme lieu de vaccination</t>
    </r>
    <r>
      <rPr>
        <sz val="8"/>
        <color indexed="60"/>
        <rFont val="Verdana"/>
        <family val="2"/>
      </rPr>
      <t>.  Pour cette section, le terme vaccination systématique n'est à utiliser que pour les vaccinations faisant partie du calendrier vaccinal de routine. Notifiez seulement les vaccinations effectuées à l’école à intervalles réguliers ou tous les ans pour le même groupe d’âge dans le cadre du programme national de vaccination. N’indiquez pas les doses administrées lors des journées nationales de vaccination (activités supplémentaires)</t>
    </r>
  </si>
  <si>
    <t>Antipneumococcique conjugué 3</t>
  </si>
  <si>
    <t>6050</t>
  </si>
  <si>
    <t>D. 
Si oui, la rupture de stock au niveau des districts était-elle liée à une rupture de stock au niveau national?</t>
  </si>
  <si>
    <t>Un système électronique de gestion des stocks de vaccins est-il en vigueur au niveau du district et au niveau inférieur ?</t>
  </si>
  <si>
    <t>Quel pourcentage (%) du matériel de la chaîne du froid (tous les échelons infranationaux du système) est muni d’un système électronique permettant une vérification constante de la température ?</t>
  </si>
  <si>
    <t>Indiquez le pourcentage de matériel de la chaîne du froid qui, au niveau du district, est muni d’un dispositif électronique de surveillance constante de la température. Si les districts déterminent la température de la chaîne du froid à l’aide d’un thermomètre à cadran standard à raison de deux prises quotidiennes, la réponse à cette question sera alors 0 %. Un pourcentage supérieur à 0 % ne s’appliquera que si les thermomètres standard sont remplacés par un dispositif de surveillance constante de la température, soit électronique, soit réglé sur 30 jours.</t>
  </si>
  <si>
    <t>Le programme de vaccination dispose-t-il au niveau national d’un responsable chargé spécifiquement de la chaîne d’approvisionnement des vaccins ?</t>
  </si>
  <si>
    <r>
      <t xml:space="preserve">Incinération </t>
    </r>
    <r>
      <rPr>
        <sz val="8"/>
        <rFont val="Verdana"/>
        <family val="2"/>
      </rPr>
      <t>:</t>
    </r>
    <r>
      <rPr>
        <b/>
        <i/>
        <sz val="8"/>
        <rFont val="Verdana"/>
        <family val="2"/>
      </rPr>
      <t xml:space="preserve"> </t>
    </r>
    <r>
      <rPr>
        <sz val="8"/>
        <rFont val="Verdana"/>
        <family val="2"/>
      </rPr>
      <t xml:space="preserve">méthodes d'incinération en lieu clos à une température ≥800°C. 
</t>
    </r>
    <r>
      <rPr>
        <b/>
        <i/>
        <sz val="8"/>
        <rFont val="Verdana"/>
        <family val="2"/>
      </rPr>
      <t xml:space="preserve">Incinération à ciel ouvert </t>
    </r>
    <r>
      <rPr>
        <sz val="8"/>
        <rFont val="Verdana"/>
        <family val="2"/>
      </rPr>
      <t xml:space="preserve">: incinération dans un puits ou un fût. 
</t>
    </r>
    <r>
      <rPr>
        <b/>
        <i/>
        <sz val="8"/>
        <rFont val="Verdana"/>
        <family val="2"/>
      </rPr>
      <t>Enfouissement</t>
    </r>
    <r>
      <rPr>
        <sz val="8"/>
        <rFont val="Verdana"/>
        <family val="2"/>
      </rPr>
      <t xml:space="preserve"> : enfouissement des déchets dans un puits et encapsulation dans du ciment ou dans un autre isolant, tel que le sable ou le plâtre. 
</t>
    </r>
    <r>
      <rPr>
        <b/>
        <i/>
        <sz val="8"/>
        <rFont val="Verdana"/>
        <family val="2"/>
      </rPr>
      <t>Autres</t>
    </r>
    <r>
      <rPr>
        <sz val="8"/>
        <rFont val="Verdana"/>
        <family val="2"/>
      </rPr>
      <t xml:space="preserve"> : toute méthode d'élimination des déchets non mentionnée ci-dessus.</t>
    </r>
  </si>
  <si>
    <t>Les pays qui ont des lignes budgétaires spécifiques dans leur budget national réservées à l'achat de vaccins pour la vaccination de routine doivent répondre oui à cette question. Les pays qui n'ont pas de ligne budgétaire spécifique ou qui ont un budget général pour la santé qui englobe les vaccins doivent répondre non à cette question.</t>
  </si>
  <si>
    <r>
      <rPr>
        <u val="single"/>
        <sz val="8"/>
        <rFont val="Verdana"/>
        <family val="2"/>
      </rPr>
      <t>À inclure :</t>
    </r>
    <r>
      <rPr>
        <sz val="8"/>
        <rFont val="Verdana"/>
        <family val="2"/>
      </rPr>
      <t xml:space="preserve"> ce chiffre devrait inclure les dépenses engagées par le gouvernement pour la vaccination systématique et le matériel d’injection connexe. Le gouvernement englobe tous les échelons administratifs – de niveaux national et infranational – ainsi que le financement basé sur la mise en commun. La vaccination systématique comprend les dépenses relatives aux vaccins classiques, nouveaux ou sous utilisés. La participation du gouvernement au mécanisme de cofinancement de l’Alliance GAVI devrait être incluse. Les dépenses liées aux activités de vaccination supplémentaires NE doivent PAS être incluses. Le financement extrabudgétaire émanant des donateurs, les paiements directs et les paiements privés officieux sont exclus de cet indicateur.
</t>
    </r>
    <r>
      <rPr>
        <u val="single"/>
        <sz val="8"/>
        <rFont val="Verdana"/>
        <family val="2"/>
      </rPr>
      <t>Source(s) d’information</t>
    </r>
    <r>
      <rPr>
        <sz val="8"/>
        <rFont val="Verdana"/>
        <family val="2"/>
      </rPr>
      <t xml:space="preserve"> : ce chiffre devrait essentiellement provenir de documents indiquant les dépenses effectives en matière de vaccins – rapports sur l’exécution du budget établi par le ministère de la santé, l’entité chargée des achats ou le programme national de vaccination. Les dépenses publiques peuvent être corroborées pour des documents émanant d’autres sources, à savoir : Système des comptes de la santé, études ponctuelles sur les dépenses de vaccination systématique, estimations initiales d’un plan pluriannuel global ou rapports sur l’exécution, bureau de pays de l’UNICEF ou sa division chargée de l’approvisionnement ou encore bureaux régionaux ou de pays de l’OPS.</t>
    </r>
  </si>
  <si>
    <t>6530</t>
  </si>
  <si>
    <t>6540</t>
  </si>
  <si>
    <r>
      <rPr>
        <u val="single"/>
        <sz val="8"/>
        <rFont val="Verdana"/>
        <family val="2"/>
      </rPr>
      <t xml:space="preserve">À inclure </t>
    </r>
    <r>
      <rPr>
        <sz val="8"/>
        <rFont val="Verdana"/>
        <family val="2"/>
      </rPr>
      <t xml:space="preserve">: ce chiffre devrait inclure les dépenses récurrentes spécifiques à la vaccination systématique assumées par les pouvoirs publics. Les dépenses relatives aux vaccins systématiques (classiques, nouveaux ou sous utilisés) et la part de cofinancement des vaccins utilisant des fonds publics, le matériel d’injection connexe, les salaires et les indemnités journalières des personnels de santé employés à plein temps pour la vaccination, le transport spécifique à la vaccination, les véhicules et le maintien de la chaîne du froid, la formation spécifique à la vaccination, la mobilisation sociale, le suivi et la surveillance ainsi que la gestion programmatique devraient être incorporés. Les coûts partagés des systèmes de santé NE devraient PAS figurer dans cet indicateur. Les dépenses gouvernementales englobent tous les échelons administratifs – de niveau national et infranational –, tous les fonds alloués via les budgets publics de niveaux national et infranational, le financement de la sécurité sociale et le financement basé sur la mise en commun. Le financement extrabudgétaire émanant des donateurs, les paiements directs ainsi que les paiements privés officieux sont exclus. 
</t>
    </r>
    <r>
      <rPr>
        <u val="single"/>
        <sz val="8"/>
        <rFont val="Verdana"/>
        <family val="2"/>
      </rPr>
      <t>Source(s) d’information</t>
    </r>
    <r>
      <rPr>
        <sz val="8"/>
        <rFont val="Verdana"/>
        <family val="2"/>
      </rPr>
      <t xml:space="preserve"> : ce chiffre devrait essentiellement provenir de documents indiquant les dépenses effectives spécifiques aux vaccinations tels que les rapports sur l’exécution du budget établis par le ministère de la santé et par le programme national de vaccination. Toutes les dépenses liées à la vaccination peuvent être corroborées à l’aide de documents émanant d’autres sources, à savoir : Système des comptes de la santé, études ponctuelles sur les dépenses de vaccination systématique, estimations initiales d’un plan pluriannuel global ou rapports sur l’exécution, et d’organismes donateurs – bureau de pays de l’UNICEF ou sa division chargée de l’approvisionnement ou encore bureaux régionaux ou de pays de l’OPS.</t>
    </r>
  </si>
  <si>
    <t>6560</t>
  </si>
  <si>
    <t>Tous les termes employés dans ces instructions sont définis dans le glossaire inclus et explicités dans la note d’orientation postée à l’adresse</t>
  </si>
  <si>
    <t>http://www.who.int/immunization/programmes_systems/financing/en/</t>
  </si>
  <si>
    <t>Données sur la grippe saisonnière</t>
  </si>
  <si>
    <t>Les enfants (dans l’affirmative, précisez la tranche d’âge)</t>
  </si>
  <si>
    <t>Les personnes âgées (dans l’affirmative, précisez la tranche d’âge)</t>
  </si>
  <si>
    <t>Les personnes souffrant d’une affection chronique (pédiatrique)</t>
  </si>
  <si>
    <t>Les personnes souffrant d’une affection chronique (adultes)</t>
  </si>
  <si>
    <t>Répondre Oui si le programme national de vaccination a une vision précise pour le renforcement de la chaine logistique des vaccins, et que cette vision est décrite dans un plan pluriannuel spécifique.
Dans le cas contraire, répondre:
• "Non" ce qui signifie que la chaîne logistique des vaccins a d’important défis mais le pays n'a pas de plan d'amélioration pluriannuel spécifique pour les résoudre; ou
• "SO" ce qui signifie que la chaîne logistique des vaccins n'est pas considérée comme problématique pour le programme national de vaccination, et par conséquent, un plan d'amélioration pluriannuel spécifique n'est pas nécessaire; ou
• "ND" ce qui signifie que la réponse à la question n'est pas connue (Non Disponible).</t>
  </si>
  <si>
    <t>Les femmes enceintes</t>
  </si>
  <si>
    <t>Toutes les personnes de plus de six mois devraient être vaccinées</t>
  </si>
  <si>
    <t>Hemisphere</t>
  </si>
  <si>
    <t>Hémisphère Nord</t>
  </si>
  <si>
    <t>Hémisphère Sud</t>
  </si>
  <si>
    <t>Les deux</t>
  </si>
  <si>
    <t xml:space="preserve">Réticence face à la vaccination </t>
  </si>
  <si>
    <t>Veuillez répondre à toutes les questions. Indiquez les raisons de la réticence face à la vaccination même si elle repose sur votre opinion et qu’aucune recherche de fond n’a été conduite. Précisez si une évaluation a été réalisée ou non. Si oui, indiquez s’il vous plaît le lien permettant de consulter la publication/le rapport ou joignez ce document au présent rapport.</t>
  </si>
  <si>
    <t>Cette réponse est-elle étayée ou corroborée par une quelconque forme d’évaluation, ou est-ce une opinion reposant sur vos connaissances et compétences ?</t>
  </si>
  <si>
    <t>La réticence face à la vaccination désigne l’acceptation tardive ou le refus des vaccins malgré la disponibilité des services de vaccination. La réticence face à la vaccination est un phénomène complexe et dépend du contexte qui varie selon les périodes, les lieux et les vaccins. Il englobe des facteurs tels que la baisse de vigilance, la convenance personnelle et la confiance.
La réticence face à la vaccination se positionne sur un spectre allant du refus total à l’acceptation totale de tous les vaccins. La réticence ne s’applique pas aux situations dans lesquelles l’utilisation effective des vaccins est faible en raison d’une piètre disponibilité (manque de vaccins pour cause de rupture de stock), de l’absence de services de vaccination (aucun centre de soins) ou du manque d’accès aux vaccins (lié à des catastrophes naturelles ou à une crise découlant d’un conflit armé).</t>
  </si>
  <si>
    <t>Hesitancy</t>
  </si>
  <si>
    <t>Opinion</t>
  </si>
  <si>
    <t>Preuves documentées</t>
  </si>
  <si>
    <t>4&amp;5. Couverture</t>
  </si>
  <si>
    <r>
      <t xml:space="preserve">Pour tous les vaccins contenant l'antigène de la coqueluche, utiliser le menu déroulant pour préciser le type de vaccin utilisé : inactivé à cellules entières ou acellulaire. </t>
    </r>
    <r>
      <rPr>
        <i/>
        <sz val="8"/>
        <rFont val="Verdana"/>
        <family val="2"/>
      </rPr>
      <t xml:space="preserve">Si le type de vaccin n'est pas précisé, on considère qu'il s'agit du vaccin à cellules entières. </t>
    </r>
    <r>
      <rPr>
        <b/>
        <i/>
        <sz val="8"/>
        <rFont val="Verdana"/>
        <family val="2"/>
      </rPr>
      <t xml:space="preserve">
</t>
    </r>
    <r>
      <rPr>
        <sz val="8"/>
        <rFont val="Verdana"/>
        <family val="2"/>
      </rPr>
      <t>Pour les vaccins antipneumococciques conjugués, rotavirus et papillomavirus humain, préciser le type utilisé en indiquant le nombre de souches dans l'espace prévu à cet effet.</t>
    </r>
  </si>
  <si>
    <r>
      <t xml:space="preserve">
Colonnes I : </t>
    </r>
    <r>
      <rPr>
        <sz val="8"/>
        <rFont val="Verdana"/>
        <family val="2"/>
      </rPr>
      <t xml:space="preserve">Si un vaccin ou un supplément est administré dans tout le pays, chosir "national" dans le menu déroulant. S'il n'est administré que dans certaines régions, choisir "sous-national". Cette colonne ne concerne </t>
    </r>
    <r>
      <rPr>
        <b/>
        <sz val="8"/>
        <rFont val="Verdana"/>
        <family val="2"/>
      </rPr>
      <t>que</t>
    </r>
    <r>
      <rPr>
        <sz val="8"/>
        <rFont val="Verdana"/>
        <family val="2"/>
      </rPr>
      <t xml:space="preserve"> les zones géographiques, </t>
    </r>
    <r>
      <rPr>
        <b/>
        <sz val="8"/>
        <rFont val="Verdana"/>
        <family val="2"/>
      </rPr>
      <t>pas</t>
    </r>
    <r>
      <rPr>
        <sz val="8"/>
        <rFont val="Verdana"/>
        <family val="2"/>
      </rPr>
      <t xml:space="preserve"> les groupes cibles ou à risque.
</t>
    </r>
    <r>
      <rPr>
        <b/>
        <sz val="8"/>
        <rFont val="Verdana"/>
        <family val="2"/>
      </rPr>
      <t xml:space="preserve">Colonne J : </t>
    </r>
    <r>
      <rPr>
        <sz val="8"/>
        <rFont val="Verdana"/>
        <family val="2"/>
      </rPr>
      <t xml:space="preserve">Si un vaccin n'est pas administré à l'ensemble de la population, préciser le groupe cible (par ex. : adultes de plus de 65 ans, voyageurs, diabétiques, personnes déplacées). 
</t>
    </r>
  </si>
  <si>
    <t>Autre agence gouvernementale (préciser dans la colonne "Explications")</t>
  </si>
  <si>
    <t>Partenaires du dévelopement (préciser dans la colonne "Explications")</t>
  </si>
  <si>
    <t>Divers (préciser dans la colonne "Explications")</t>
  </si>
  <si>
    <t>Merci de rapporter les données de couverture qui sont collectés par le système de couverture administratif régulier</t>
  </si>
  <si>
    <t>Veuillez notifier tous les établissements qui, dans votre pays, participent au financement des documents de vaccination de l’enfant conservés à domicile. Utilisez la colonne « Explications » si besoin est.</t>
  </si>
  <si>
    <t>Veuillez indiquer si, dans votre pays, le programme national de vaccination/Ministère de la santé ou un autre organisme (précisez dans la colonne « Explications ») est chargé d’imprimer les documents de vaccination de l’enfant conservés à domicile.</t>
  </si>
  <si>
    <t>6090-6140</t>
  </si>
  <si>
    <t>Carnets de Santé (ou tous autres documents de santé de l'enfant conservés à domicile et contenant l'historique et le statut vaccinal)</t>
  </si>
  <si>
    <t>moins de 12 mois</t>
  </si>
  <si>
    <t>*L'OMS recommande un calendrier de vaccination en 2 doses pour les filles de moins de 15 ans (note the synthèse de l'OMS, octobre 2014). Si le calendrier vaccinal de 2 doses est untilisé, merci de laisser la colonne C vide.</t>
  </si>
  <si>
    <t>Le personnel soignant</t>
  </si>
  <si>
    <t>Aucun groupe n’est précisé conernant l’administration du vaccin antigrippe</t>
  </si>
  <si>
    <t>Les pèlerins ou tout autre voyageur</t>
  </si>
  <si>
    <r>
      <t xml:space="preserve">Rapport annuel sur les performances en matière de vaccination pour la période comprise entre janvier et décembre </t>
    </r>
    <r>
      <rPr>
        <b/>
        <sz val="14"/>
        <color indexed="43"/>
        <rFont val="Sylfaen"/>
        <family val="1"/>
      </rPr>
      <t>2016</t>
    </r>
    <r>
      <rPr>
        <b/>
        <sz val="14"/>
        <color indexed="43"/>
        <rFont val="Sylfaen"/>
        <family val="1"/>
      </rPr>
      <t xml:space="preserve"> communiqué par le Ministère de la santé </t>
    </r>
  </si>
  <si>
    <t>Nombre total de districts dans le pays en 2016</t>
  </si>
  <si>
    <r>
      <t xml:space="preserve">Dans la </t>
    </r>
    <r>
      <rPr>
        <b/>
        <sz val="8"/>
        <rFont val="Verdana"/>
        <family val="2"/>
      </rPr>
      <t>colonne B</t>
    </r>
    <r>
      <rPr>
        <sz val="8"/>
        <rFont val="Verdana"/>
        <family val="2"/>
      </rPr>
      <t xml:space="preserve">, inclure seulement les cas qui se sont avérés positifs pour l'agent infectieux recherché, après test en laboratoire. </t>
    </r>
  </si>
  <si>
    <t>1010-1100
(C)</t>
  </si>
  <si>
    <t>1070 (D)</t>
  </si>
  <si>
    <t>Nombre de cas notifiés pour l'année 2016</t>
  </si>
  <si>
    <t>DTVPI</t>
  </si>
  <si>
    <t>TdaPVPI</t>
  </si>
  <si>
    <t>Tétanos, diphtérie et coqueluche acellulaire pour enfants plus âgés et adultes et VPI</t>
  </si>
  <si>
    <t>TdIPV</t>
  </si>
  <si>
    <t>HepA_Adulte</t>
  </si>
  <si>
    <t>HepA_Pédiatrique</t>
  </si>
  <si>
    <t>Hépatite A pour adultes</t>
  </si>
  <si>
    <t>Hépatite A pédiatrique</t>
  </si>
  <si>
    <t>Diphtérie, tétanos, coqueluche, HepB et Vaccin antipoliomyélitique inactivé</t>
  </si>
  <si>
    <t>Diphtérie, tétanos, coqueluche, Hib et Vaccin antipoliomyélitique inactivé</t>
  </si>
  <si>
    <t xml:space="preserve">Diphtérie, tétanos, coqueluche, Hib, HepB et Vaccin antipoliomyélitique inactivé </t>
  </si>
  <si>
    <t>Diphtérie, tétanos, coqueluche et Vaccin antipoliomyélitique inactivé</t>
  </si>
  <si>
    <t xml:space="preserve">Diphtérie, tétanos et Vaccin antipoliomyélitique inactivé </t>
  </si>
  <si>
    <t>Tétanos et diphtérie pour enfants plus âgés et adultes et Vaccin antipoliomyélitique inactivé</t>
  </si>
  <si>
    <t>RORV</t>
  </si>
  <si>
    <t>Rougeole, oreillons et rubéole et varicelle</t>
  </si>
  <si>
    <t>EJ_Rec</t>
  </si>
  <si>
    <t>Encéphalite japonaise (vaccin recombinant)</t>
  </si>
  <si>
    <t>Men ACWY_135_conj</t>
  </si>
  <si>
    <t>Men ACWY_135_ps</t>
  </si>
  <si>
    <t>Antiméningococcique ACWY-135 conjugué</t>
  </si>
  <si>
    <t>Antiméningococcique ACWY-135 polysaccharide</t>
  </si>
  <si>
    <t>Cholera</t>
  </si>
  <si>
    <t>vaccin contre le choléra</t>
  </si>
  <si>
    <t>2B. Vaccine price and procurement information</t>
  </si>
  <si>
    <t>N.
Incoterm</t>
  </si>
  <si>
    <t>B_2010</t>
  </si>
  <si>
    <t>&lt;pick one&gt;</t>
  </si>
  <si>
    <t>B_2020</t>
  </si>
  <si>
    <t>B_2030</t>
  </si>
  <si>
    <t>B_2040</t>
  </si>
  <si>
    <t>B_2050</t>
  </si>
  <si>
    <t>B_2060</t>
  </si>
  <si>
    <t>B_2070</t>
  </si>
  <si>
    <t>B_2080</t>
  </si>
  <si>
    <t>B_2090</t>
  </si>
  <si>
    <t>B_2100</t>
  </si>
  <si>
    <t>B_2110</t>
  </si>
  <si>
    <t>B_2120</t>
  </si>
  <si>
    <t>B_2130</t>
  </si>
  <si>
    <t>B_2140</t>
  </si>
  <si>
    <t>B_2150</t>
  </si>
  <si>
    <t>B_2160</t>
  </si>
  <si>
    <t>B_2170</t>
  </si>
  <si>
    <t>B_2180</t>
  </si>
  <si>
    <t>B_2190</t>
  </si>
  <si>
    <t>B_2200</t>
  </si>
  <si>
    <t>B_2210</t>
  </si>
  <si>
    <t>B_2220</t>
  </si>
  <si>
    <t>B_2230</t>
  </si>
  <si>
    <t>B_2240</t>
  </si>
  <si>
    <t>B_2250</t>
  </si>
  <si>
    <t>B_2260</t>
  </si>
  <si>
    <t>B_2270</t>
  </si>
  <si>
    <t>B_2280</t>
  </si>
  <si>
    <t>B_2290</t>
  </si>
  <si>
    <t>B_2300</t>
  </si>
  <si>
    <t>B_2310</t>
  </si>
  <si>
    <t>B_2320</t>
  </si>
  <si>
    <t>B_2330</t>
  </si>
  <si>
    <t>B_2340</t>
  </si>
  <si>
    <t>B_2350</t>
  </si>
  <si>
    <t>B_2360</t>
  </si>
  <si>
    <t>B_2370</t>
  </si>
  <si>
    <t>B_2380</t>
  </si>
  <si>
    <t>B_2390</t>
  </si>
  <si>
    <t>B_2400</t>
  </si>
  <si>
    <t>B_2410</t>
  </si>
  <si>
    <t>B_2420</t>
  </si>
  <si>
    <t>B_2430</t>
  </si>
  <si>
    <t>B_2440</t>
  </si>
  <si>
    <t>B_2450</t>
  </si>
  <si>
    <t>B_2460</t>
  </si>
  <si>
    <t>B_2470</t>
  </si>
  <si>
    <t>B_2480</t>
  </si>
  <si>
    <t>B_2490</t>
  </si>
  <si>
    <t>B_2500</t>
  </si>
  <si>
    <t>B_2510</t>
  </si>
  <si>
    <t>B_2520</t>
  </si>
  <si>
    <t>B_2530</t>
  </si>
  <si>
    <t>B_2540</t>
  </si>
  <si>
    <t>B_2550</t>
  </si>
  <si>
    <t>B_2560</t>
  </si>
  <si>
    <t>B_2570</t>
  </si>
  <si>
    <t>B_2580</t>
  </si>
  <si>
    <t>B_2590</t>
  </si>
  <si>
    <t>B_2600</t>
  </si>
  <si>
    <r>
      <t xml:space="preserve">4A. Couverture administrative nationale pour l'année </t>
    </r>
    <r>
      <rPr>
        <b/>
        <sz val="14"/>
        <color indexed="9"/>
        <rFont val="Sylfaen"/>
        <family val="1"/>
      </rPr>
      <t>2016</t>
    </r>
  </si>
  <si>
    <t>Expliquer comment le dénominateur est obtenu et quelle institution a fourni le dénominateur officiel pour 2016 (dénominateur = nombre dans le groupe cible)</t>
  </si>
  <si>
    <r>
      <t xml:space="preserve">Nombre total de rapports de districts </t>
    </r>
    <r>
      <rPr>
        <u val="single"/>
        <sz val="8"/>
        <rFont val="Verdana"/>
        <family val="2"/>
      </rPr>
      <t>attendus</t>
    </r>
    <r>
      <rPr>
        <sz val="8"/>
        <rFont val="Verdana"/>
        <family val="2"/>
      </rPr>
      <t xml:space="preserve"> au niveau central, en provenance de tous les districts pendant l'année 2016 (par exemple: # districts x 12 mois)</t>
    </r>
  </si>
  <si>
    <r>
      <t xml:space="preserve">Nombre total de rapports de districts </t>
    </r>
    <r>
      <rPr>
        <u val="single"/>
        <sz val="8"/>
        <rFont val="Verdana"/>
        <family val="2"/>
      </rPr>
      <t>reçus</t>
    </r>
    <r>
      <rPr>
        <sz val="8"/>
        <rFont val="Verdana"/>
        <family val="2"/>
      </rPr>
      <t xml:space="preserve"> au niveau central, en provenance de tous les districts pendant l'année 2016</t>
    </r>
  </si>
  <si>
    <r>
      <t xml:space="preserve">Ne </t>
    </r>
    <r>
      <rPr>
        <b/>
        <sz val="8"/>
        <rFont val="Verdana"/>
        <family val="2"/>
      </rPr>
      <t xml:space="preserve">pas </t>
    </r>
    <r>
      <rPr>
        <sz val="8"/>
        <rFont val="Verdana"/>
        <family val="2"/>
      </rPr>
      <t>indiquer dans ces cellules le nombre de doses administrées en 2016. Ces informations seront inscrites dans le tableau 4A.
S'il est prévu d'introduire un vaccin qui n'est pas actuellement utilisé, indiquer le mois et l'année dans la colonne G-H.</t>
    </r>
  </si>
  <si>
    <t>Nombre total de carnets de vaccination/santé imprimés dans le pays afin d’être utilisés au cours de l’année 2016 (ou tous autres documents de santé de l’enfant conservés à domicile, comme par exemple la fiche de vaccination, le carnet de vaccination + suivi de la croissance, ou le carnet de santé de l’enfant)</t>
  </si>
  <si>
    <t>Nombre total de carnets de vaccination des femmes en âge de procréer imprimés dans le pays afin d’être utilisés au cours de l’année 2016 (ou tous autres documents de santé conservés à domicile pour les femmes d’âge fertile, comme par exemple la fiche de vaccination antitétanique/contre le tétanos et la diphtérie ou le carnet de santé maternelle)</t>
  </si>
  <si>
    <t>2660</t>
  </si>
  <si>
    <t>Indiquez le nombre de documents conservés à domicile et imprimés pour consigner les vaccinations administrées aux enfants/nourrissons au cours de l’année 2016. Une fiche ou un carnet de vaccination conservé à domicile est un document (plus souvent matériel qu’électronique) – délivré à un particulier par une autorité officielle comme un département de santé national, provincial ou de district – sur lequel est mentionné l’historique des vaccinations administrées à une personne par l’ensemble des prestataires de soins.
Utilisez la colonne « Explications » pour exposer brièvement quelle est la source du nombre de documents conservés à domicile (par exemple impression des factures ou des bons de commande, estimation fondée sur les naissances auxquelles s’ajoutent les vaccinations tardives, etc.).
Si les documents conservés à domicile pour les enfants sont imprimés au niveau infranational plutôt qu’au niveau national et qu’on ne dispose d’aucune donnée, indiquez alors ND  pour « non disponible » et fournissez une explication.
Si les documents conservés à domicile sont imprimés en vue d’une distribution dépassant une année, indiquez alors le nombre de documents censés être distribués au cours de l’année 2016.
Si les services de vaccination du secteur privé se fondent sur un document de santé conservé à domicile qui diffère de celui utilisé par les services de vaccination publics, veuillez rédiger une note dans la colonne « Explications » en signalant si le nombre de documents imprimés comprend l’estimation des documents conservés à domicile qui sont délivrés par le secteur privé.
Si le pays n’utilise pas de documents de santé conservés à domicile, indiquez SO pour « sans objet ».</t>
  </si>
  <si>
    <r>
      <t xml:space="preserve">2A. Calendrier vaccinal pour </t>
    </r>
    <r>
      <rPr>
        <b/>
        <sz val="14"/>
        <color indexed="43"/>
        <rFont val="Sylfaen"/>
        <family val="1"/>
      </rPr>
      <t>2016</t>
    </r>
  </si>
  <si>
    <t>2B. Procurement Source</t>
  </si>
  <si>
    <t>B_2010 - B_2600 (A)</t>
  </si>
  <si>
    <t>B_2010 - B_2600 (B)</t>
  </si>
  <si>
    <t>B_2010 - B_2600 (C)</t>
  </si>
  <si>
    <t>B_2010 - B_2600 (D)</t>
  </si>
  <si>
    <t>B_2010 - B_2600 (E)</t>
  </si>
  <si>
    <t>B_2010 - B_2600 (F)</t>
  </si>
  <si>
    <t>B_2010 - B_2600 (G)</t>
  </si>
  <si>
    <t>B_2010 - B_2600 (H)</t>
  </si>
  <si>
    <t>B_2010 - B_2600 (I)</t>
  </si>
  <si>
    <t>B_2010 - B_2600 (J)</t>
  </si>
  <si>
    <t>B_2010 - B_2600 (K)</t>
  </si>
  <si>
    <t>B_2010 - B_2600 (L)</t>
  </si>
  <si>
    <t>B_2010 - B_2600 (M)</t>
  </si>
  <si>
    <t>B_2010 - B_2600 (N)</t>
  </si>
  <si>
    <t>B_2010 - B_2600 (O)</t>
  </si>
  <si>
    <t>B_2010 - B_2600 (P)</t>
  </si>
  <si>
    <t>4010–4240</t>
  </si>
  <si>
    <t>4010–4240 (A)</t>
  </si>
  <si>
    <t>4030</t>
  </si>
  <si>
    <t>4090</t>
  </si>
  <si>
    <t>4160-4180</t>
  </si>
  <si>
    <t>4230 (A)</t>
  </si>
  <si>
    <t>4240</t>
  </si>
  <si>
    <t>4280-4300</t>
  </si>
  <si>
    <t>4250</t>
  </si>
  <si>
    <t>4260</t>
  </si>
  <si>
    <t>4270</t>
  </si>
  <si>
    <t>&lt;commentaires&gt;</t>
  </si>
  <si>
    <t>4310-4320</t>
  </si>
  <si>
    <t>4330-4400</t>
  </si>
  <si>
    <t>Effectuées de 2014 à 2016</t>
  </si>
  <si>
    <t>4420</t>
  </si>
  <si>
    <t>Prévues en 2017-2018</t>
  </si>
  <si>
    <r>
      <t xml:space="preserve">Veuillez joindre un exemplaire de tous les rapports d'enquêtes sur la couverture vaccinale effectués de 2014 à 2016. Pensez à nous communiquer aussi </t>
    </r>
    <r>
      <rPr>
        <b/>
        <u val="single"/>
        <sz val="10"/>
        <rFont val="Verdana"/>
        <family val="2"/>
      </rPr>
      <t>tous</t>
    </r>
    <r>
      <rPr>
        <b/>
        <sz val="10"/>
        <rFont val="Verdana"/>
        <family val="2"/>
      </rPr>
      <t xml:space="preserve"> les résultats d'enquêtes sur la couverture de la supplémentation en vitamine A et sur la nutrition. </t>
    </r>
  </si>
  <si>
    <t>Indiquer si une enquête de couverture ou une autre enquête avec des modules sur la vaccination a été effectuée depuis 2014. S'il y en a plusieurs, mentionner la plus récente.</t>
  </si>
  <si>
    <r>
      <t>5. Estimations officielles des pays concernant la couverture vaccinale en</t>
    </r>
    <r>
      <rPr>
        <b/>
        <sz val="14"/>
        <color indexed="43"/>
        <rFont val="Sylfaen"/>
        <family val="1"/>
      </rPr>
      <t xml:space="preserve"> 2016</t>
    </r>
  </si>
  <si>
    <t>HepB, dose à la naissance (donnée dans les 24h après la naissance)</t>
  </si>
  <si>
    <t>Vaccin contenant l'antigène de la rubéole, 1ère dose (RCV1)</t>
  </si>
  <si>
    <t>Private Providers</t>
  </si>
  <si>
    <t>Partiellement</t>
  </si>
  <si>
    <t>Existait-il un plan de travail annuel pour les services de la vaccination en 2016?</t>
  </si>
  <si>
    <t>6220-6300</t>
  </si>
  <si>
    <t>6310</t>
  </si>
  <si>
    <t>Men ACYW-135 conj.</t>
  </si>
  <si>
    <t>Men ACYW-135 PS</t>
  </si>
  <si>
    <t>Men B</t>
  </si>
  <si>
    <t>Vaccins</t>
  </si>
  <si>
    <t>VPOb1,3</t>
  </si>
  <si>
    <t>DT-VPI</t>
  </si>
  <si>
    <t>DTaC</t>
  </si>
  <si>
    <t>DTaC-HepB</t>
  </si>
  <si>
    <t>DTaC-HepB-Hib-VPI</t>
  </si>
  <si>
    <t>DTaC-HepB-VPI</t>
  </si>
  <si>
    <t>DTaC-Hib</t>
  </si>
  <si>
    <t>DTaC-Hib-VPI</t>
  </si>
  <si>
    <t>DTaC-VPI</t>
  </si>
  <si>
    <t>aC</t>
  </si>
  <si>
    <t>TdaP-VPI</t>
  </si>
  <si>
    <t>Td-VPI</t>
  </si>
  <si>
    <t>DTwC</t>
  </si>
  <si>
    <t>DTwC-HepB</t>
  </si>
  <si>
    <t>DTwC-HepB-Hib</t>
  </si>
  <si>
    <t>DTwC-Hib</t>
  </si>
  <si>
    <t>Oreilllons</t>
  </si>
  <si>
    <t>Pneumo_ conj</t>
  </si>
  <si>
    <t>Rage</t>
  </si>
  <si>
    <t>FJ</t>
  </si>
  <si>
    <t>Encéphalite à tiques (pédiatrique)</t>
  </si>
  <si>
    <t>Encéphalite à tiques (adulte)</t>
  </si>
  <si>
    <t>VPOm2</t>
  </si>
  <si>
    <t>VPOm3</t>
  </si>
  <si>
    <t>Presentation</t>
  </si>
  <si>
    <t>Ampoule</t>
  </si>
  <si>
    <t xml:space="preserve">A.
Y-a-t-il eu une rupture de stock (défini comme étant un niveau zéro de vaccins, quelle que soit la durée de cette rupture) au niveau national en 2016?
</t>
  </si>
  <si>
    <t>C.
Y-a-t-il eu une rupture de stock dans un district en 2016?</t>
  </si>
  <si>
    <t>En 2016, y avait-il une politique nationale pour la gestion des déchets produits par les activités de vaccination?</t>
  </si>
  <si>
    <t xml:space="preserve">Quelle était, en 2016, la méthode recommandée au niveau national pour l'élimination des déchets de la vaccination ? Choisir "Oui" pour tous les cas correspondants à votre situation. 
</t>
  </si>
  <si>
    <t>Combien de doses de vaccins contre la grippe saisonnière ont été distribuées en 2016 ?</t>
  </si>
  <si>
    <t>Quelle formule de vaccin antigrippe saisonnière a été utilisée en 2016?</t>
  </si>
  <si>
    <t>Quel a été le pourcentage (%) de personnes âgées vaccinées contre la grippe en 2016 ?</t>
  </si>
  <si>
    <t>Quel a été le pourcentage (%) de personnes souffrant d’une maladie sous-jacente qui ont été vaccinées contre la grippe en 2016 ?</t>
  </si>
  <si>
    <t>Combien de fois le groupe consultatif s'est-il réuni en 2016 ?</t>
  </si>
  <si>
    <t>L'ordre du jour et les documents de référence ont-il été distribués (au moins une semaine) avant les réunions en 2016 ?</t>
  </si>
  <si>
    <t>Meningococcal A conjugate vaccine</t>
  </si>
  <si>
    <t>Human Papillomvirus Vaccine (HPV)</t>
  </si>
  <si>
    <t>Principale cause de la rupture de stock au niveau national</t>
  </si>
  <si>
    <t>Stock-out</t>
  </si>
  <si>
    <t>En 2016, une politique a-t-elle été mise en oeuvre pour la sécurité des injections vaccinales?</t>
  </si>
  <si>
    <t>6200-6210</t>
  </si>
  <si>
    <t>Indiquez le nombre cumulatif de mois où il y a eu une rupture de stock pour le vaccin. Le chiffre « 1 » signifie que la durée cumulative de la rupture de stock pour l’année considérée a été d’un mois. Si la rupture de stock a duré moins d’un mois (par exemple quelques jours ou semaines), indiquez alors « 0,25 » pour une semaine ; « 0,5 » pour deux semaines ; etc. Il est aussi possible d’arrondir la durée. Le chiffre « 12 » signifie que le vaccin n’a pas été disponible pendant l’année entière.
Il est à noter que, si le même vaccin connaît de multiples incidents de rupture de stock au cours de l’année, leur durée cumulative doit être consignée. Par exemple, si le vaccin en question a un mois de rupture de stock en mars et un autre mois de rupture de stock en octobre, il convient d’inscrire deux mois de rupture de stock cumulative.</t>
  </si>
  <si>
    <t xml:space="preserve">Répondez « oui » s’il y a eu au moins un cas où le niveau des stocks de vaccins à l’échelon du district est tombé à zéro pour l’année considérée (y compris le stock régulateur d’un mois qui est préconisé). Si le district n’est pas le dernier maillon de la chaîne du froid où les vaccins sont entreposés avant leur mise en service, indiquez alors le niveau pertinent : c’est-à-dire le dernier niveau du système où sont entreposés les vaccins avant leur mise en service.
Sinon, cochez « non » sauf si l’une des deux situations ci-après s’applique :
• Le vaccin n’est pas celui qui figure dans le programme national de vaccination, indiquez alors « sans objet ».
• Le vaccin figure dans le programme national de vaccination et la réponse à la question n’est pas connue, indiquez alors « aucune donnée ».
Prenez note du fait qu’une rupture de stock au niveau du district peut se produire indépendamment de celles qui interviennent au niveau national. En conséquence, la réponse donnée à la colonne (C) peut être « oui », même si la réponse donnée en (A) est « non ». </t>
  </si>
  <si>
    <t>6470</t>
  </si>
  <si>
    <t>6480</t>
  </si>
  <si>
    <t>6570</t>
  </si>
  <si>
    <t>AEFI</t>
  </si>
  <si>
    <t>6590</t>
  </si>
  <si>
    <t>6600</t>
  </si>
  <si>
    <t>6610</t>
  </si>
  <si>
    <t>6620</t>
  </si>
  <si>
    <t>6630</t>
  </si>
  <si>
    <t>6640</t>
  </si>
  <si>
    <t>6650</t>
  </si>
  <si>
    <t>6660</t>
  </si>
  <si>
    <t>Tout autre groupe à risque (dans l’affirmative, précisez quel groupe)</t>
  </si>
  <si>
    <t>Y a-t-il eu dans le passé (&lt;5 ans) une évaluation (ou une mesure) de la réticence face à la vaccination au niveau national ou infranational ?</t>
  </si>
  <si>
    <t>Vaccine Demand</t>
  </si>
  <si>
    <t>Manufacturer</t>
  </si>
  <si>
    <t>Abbott Biologicals B.V.</t>
  </si>
  <si>
    <t>Berna Biotech Korea Corp. / Janssen</t>
  </si>
  <si>
    <t>Bharat Biotech International Limited</t>
  </si>
  <si>
    <t>Bilthoven Biologicals</t>
  </si>
  <si>
    <t>Biological E. Limited</t>
  </si>
  <si>
    <t>Bio-Manguinhos/Fiocruz</t>
  </si>
  <si>
    <t>Biomed Kraków</t>
  </si>
  <si>
    <t>Biomed Lublin</t>
  </si>
  <si>
    <t>Boryung Biopharma</t>
  </si>
  <si>
    <t>Centro de Ingenieria Genetica y Biotecnologia</t>
  </si>
  <si>
    <t>Changchun Changsheng Life Sciences Ltd.</t>
  </si>
  <si>
    <t>Chengdu Institute of Biological Products Co.,Ltd</t>
  </si>
  <si>
    <t>Chiron Behring Vaccines Private Ltd.</t>
  </si>
  <si>
    <t>Crucell / Janssen</t>
  </si>
  <si>
    <t>CSL Limited</t>
  </si>
  <si>
    <t>DAVAC (Da Lat Pasteur Vaccines Company Limited)</t>
  </si>
  <si>
    <t>Eubiologics Co., Ltd.</t>
  </si>
  <si>
    <t>Federal State Unitary Enterprise of Chumakov Institute of Poliomyelitis and Viral Encephalitides of Russian Acad. Med. Sci.</t>
  </si>
  <si>
    <t>GlaxoSmithKline Biologicals SA</t>
  </si>
  <si>
    <t>GPO-MBP Co., Ltd.</t>
  </si>
  <si>
    <t>Green Cross Corporation</t>
  </si>
  <si>
    <t>GreenSignal Bio Pharma Limited</t>
  </si>
  <si>
    <t>Haffkine Bio Pharmaceutical Corporation Ltd</t>
  </si>
  <si>
    <t>Hualan Biological Bacterin Co., Ltd</t>
  </si>
  <si>
    <t>Imunološki zavod Zagreb</t>
  </si>
  <si>
    <t>Institut Pasteur de Dakar</t>
  </si>
  <si>
    <t>Intervax Biol. Ltd.</t>
  </si>
  <si>
    <t>IVAC (Institute of Vaccines and Medical Biologicals)</t>
  </si>
  <si>
    <t>Janssen Vaccines Corp.</t>
  </si>
  <si>
    <t>Japan BCG Laboratory</t>
  </si>
  <si>
    <t>Korea Vaccine</t>
  </si>
  <si>
    <t>LG Life Sciences</t>
  </si>
  <si>
    <t>Massbiologics</t>
  </si>
  <si>
    <t>MedImmune</t>
  </si>
  <si>
    <t>Merck Sharpe and Dohme</t>
  </si>
  <si>
    <t>Merck Vaccines</t>
  </si>
  <si>
    <t>Microgen</t>
  </si>
  <si>
    <t>National Center of Infectious and Parasitic Diseases</t>
  </si>
  <si>
    <t>Novartis Vaccines and Diagnostics</t>
  </si>
  <si>
    <t>Nuron Biotech</t>
  </si>
  <si>
    <t>Panacea Biotec Ltd.</t>
  </si>
  <si>
    <t>PaxVax</t>
  </si>
  <si>
    <t>Pfizer</t>
  </si>
  <si>
    <t>POLYVAC (Center for Research and production of  Vaccine and Biologicals)</t>
  </si>
  <si>
    <t>PT Bio Farma (Persero)</t>
  </si>
  <si>
    <t>Sanofi Pasteur MSD</t>
  </si>
  <si>
    <t>Sanofi Pasteur SA</t>
  </si>
  <si>
    <t>Sanofi Pasteur-USA</t>
  </si>
  <si>
    <t>Seqirus</t>
  </si>
  <si>
    <t>Serum Institute of India Pvt. Ltd.</t>
  </si>
  <si>
    <t>Shantha Biotechnics Limited</t>
  </si>
  <si>
    <t>SK Chemicals</t>
  </si>
  <si>
    <t>Statens Serum Institut</t>
  </si>
  <si>
    <t>Thai Red Cross Society</t>
  </si>
  <si>
    <t>Torlak Institute of Virology, Vaccines and Sera</t>
  </si>
  <si>
    <t>VABIOTECH (The Company for Vaccine and Biological Production No.1)</t>
  </si>
  <si>
    <t>Valneva Sweden AB</t>
  </si>
  <si>
    <t>Vector-BiAlgam</t>
  </si>
  <si>
    <t>Vax-procurement</t>
  </si>
  <si>
    <t>Procurement mechanism</t>
  </si>
  <si>
    <t>Contract length</t>
  </si>
  <si>
    <t>Currency</t>
  </si>
  <si>
    <t>USD</t>
  </si>
  <si>
    <t>EUR</t>
  </si>
  <si>
    <t>AED</t>
  </si>
  <si>
    <t>AFN</t>
  </si>
  <si>
    <t>ALL</t>
  </si>
  <si>
    <t>AMD</t>
  </si>
  <si>
    <t>AOA</t>
  </si>
  <si>
    <t>ARS</t>
  </si>
  <si>
    <t>AUD</t>
  </si>
  <si>
    <t>AZN</t>
  </si>
  <si>
    <t>BAM</t>
  </si>
  <si>
    <t>BBD</t>
  </si>
  <si>
    <t>BDT</t>
  </si>
  <si>
    <t>BGN</t>
  </si>
  <si>
    <t>BHD</t>
  </si>
  <si>
    <t>BIF</t>
  </si>
  <si>
    <t>BND</t>
  </si>
  <si>
    <t>BOB</t>
  </si>
  <si>
    <t>BRL</t>
  </si>
  <si>
    <t>BSD</t>
  </si>
  <si>
    <t>BWP</t>
  </si>
  <si>
    <t>BYR</t>
  </si>
  <si>
    <t>BZD</t>
  </si>
  <si>
    <t>CAD</t>
  </si>
  <si>
    <t>CDF</t>
  </si>
  <si>
    <t>CHF</t>
  </si>
  <si>
    <t>CLP</t>
  </si>
  <si>
    <t>CNY</t>
  </si>
  <si>
    <t>COP</t>
  </si>
  <si>
    <t>CRC</t>
  </si>
  <si>
    <t>CUP</t>
  </si>
  <si>
    <t>CVE</t>
  </si>
  <si>
    <t>CZK</t>
  </si>
  <si>
    <t>DJF</t>
  </si>
  <si>
    <t>DKK</t>
  </si>
  <si>
    <t>DOP</t>
  </si>
  <si>
    <t>DZD</t>
  </si>
  <si>
    <t>EGP</t>
  </si>
  <si>
    <t>ERN</t>
  </si>
  <si>
    <t>ETB</t>
  </si>
  <si>
    <t>FJD</t>
  </si>
  <si>
    <t>GBP</t>
  </si>
  <si>
    <t>GEL</t>
  </si>
  <si>
    <t>GHS</t>
  </si>
  <si>
    <t>GMD</t>
  </si>
  <si>
    <t>GNF</t>
  </si>
  <si>
    <t>GTQ</t>
  </si>
  <si>
    <t>GYD</t>
  </si>
  <si>
    <t>HNL</t>
  </si>
  <si>
    <t>HRK</t>
  </si>
  <si>
    <t>HTG</t>
  </si>
  <si>
    <t>HUF</t>
  </si>
  <si>
    <t>IDR</t>
  </si>
  <si>
    <t>ILS</t>
  </si>
  <si>
    <t>INR</t>
  </si>
  <si>
    <t>IQD</t>
  </si>
  <si>
    <t>IRR</t>
  </si>
  <si>
    <t>ISK</t>
  </si>
  <si>
    <t>JMD</t>
  </si>
  <si>
    <t>JOD</t>
  </si>
  <si>
    <t>JPY</t>
  </si>
  <si>
    <t>KES</t>
  </si>
  <si>
    <t>KGS</t>
  </si>
  <si>
    <t>KHR</t>
  </si>
  <si>
    <t>KMF</t>
  </si>
  <si>
    <t>KPW</t>
  </si>
  <si>
    <t>KRW</t>
  </si>
  <si>
    <t>KWD</t>
  </si>
  <si>
    <t>KZT</t>
  </si>
  <si>
    <t>LAK</t>
  </si>
  <si>
    <t>LBP</t>
  </si>
  <si>
    <t>LKR</t>
  </si>
  <si>
    <t>LRD</t>
  </si>
  <si>
    <t>LSL</t>
  </si>
  <si>
    <t>LTL</t>
  </si>
  <si>
    <t>LVL</t>
  </si>
  <si>
    <t>LYD</t>
  </si>
  <si>
    <t>MAD</t>
  </si>
  <si>
    <t>MDL</t>
  </si>
  <si>
    <t>MGA</t>
  </si>
  <si>
    <t>MMK</t>
  </si>
  <si>
    <t>MNT</t>
  </si>
  <si>
    <t>MRO</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</si>
  <si>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</si>
  <si>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</si>
  <si>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</si>
  <si>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</si>
  <si>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</si>
  <si>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</si>
  <si>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</si>
  <si>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</si>
  <si>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</si>
  <si>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</si>
  <si>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</si>
  <si>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</si>
  <si>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</si>
  <si>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</si>
  <si>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</si>
  <si>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</si>
  <si>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</si>
  <si>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</si>
  <si>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</si>
  <si>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</si>
  <si>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</si>
  <si>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</si>
  <si>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</si>
  <si>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</si>
  <si>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</si>
  <si>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</si>
  <si>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</si>
  <si>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</si>
  <si>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</si>
  <si>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</si>
  <si>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</si>
  <si>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SLL</t>
  </si>
  <si>
    <t>SOS</t>
  </si>
  <si>
    <t>SRD</t>
  </si>
  <si>
    <t>SSP</t>
  </si>
  <si>
    <t>STD</t>
  </si>
  <si>
    <t>SVC</t>
  </si>
  <si>
    <t>SYP</t>
  </si>
  <si>
    <t>SZL</t>
  </si>
  <si>
    <t>THB</t>
  </si>
  <si>
    <t>TJS</t>
  </si>
  <si>
    <t>TMT</t>
  </si>
  <si>
    <t>TND</t>
  </si>
  <si>
    <t>TOP</t>
  </si>
  <si>
    <t>TRY</t>
  </si>
  <si>
    <t>TTD</t>
  </si>
  <si>
    <t>TZS</t>
  </si>
  <si>
    <t>UAH</t>
  </si>
  <si>
    <t>UGX</t>
  </si>
  <si>
    <t>UYU</t>
  </si>
  <si>
    <t>UZS</t>
  </si>
  <si>
    <t>VEF</t>
  </si>
  <si>
    <t>VND</t>
  </si>
  <si>
    <t>VUV</t>
  </si>
  <si>
    <t>WST</t>
  </si>
  <si>
    <t>XAF</t>
  </si>
  <si>
    <t>XCD</t>
  </si>
  <si>
    <t>XOF</t>
  </si>
  <si>
    <t>YER</t>
  </si>
  <si>
    <t>ZAR</t>
  </si>
  <si>
    <t>ZMW</t>
  </si>
  <si>
    <t>ZWL</t>
  </si>
  <si>
    <t>yes_no_Unknown</t>
  </si>
  <si>
    <t>Incoterm</t>
  </si>
  <si>
    <t>Source of funding</t>
  </si>
  <si>
    <t>&lt; choisir une réponse &gt;</t>
  </si>
  <si>
    <t>5010–5230</t>
  </si>
  <si>
    <t>5240</t>
  </si>
  <si>
    <t>Couverture de routine rapportée par district en 2016</t>
  </si>
  <si>
    <t>6320–6440 (A)</t>
  </si>
  <si>
    <t>6320–6440 (B)</t>
  </si>
  <si>
    <t>6320–6440 (C)</t>
  </si>
  <si>
    <t>6320–6440 (D)</t>
  </si>
  <si>
    <t>6320–6440 (E)</t>
  </si>
  <si>
    <t>Calculer le pourcentage des dépenses totales en matière de vaccin qui est financé par des fonds publics à l’aide des indicateurs 6610 et 6620. (6610/6620)x 100</t>
  </si>
  <si>
    <t>En utilisant les indicateurs 6610 et 6620, calculer le pourcentage des dépenes gouvernementales relatives à la vaccination systématique et au matériel d’injection connexe comme étant le ratio  des dépenses gouvernementales (6610) divisées par les dépenses totales en matière de vaccination (6620).</t>
  </si>
  <si>
    <t>Calculer le pourcentage des dépenses totales en matière de vaccination de routine qui est financé par des fonds publics à l’aide des indicateurs 6640 et 6650. (6640/6650)x 100</t>
  </si>
  <si>
    <t>Pour estimer ce pourcentage, diviser le montant dépensé avec des fonds propres du gouvernement pour la vaccination de routine (6640) par les dépenses totales (de toutes les sources) consenties à la vaccination de routine (6650)</t>
  </si>
  <si>
    <t>6740-6770</t>
  </si>
  <si>
    <t>Effectuées en 2016</t>
  </si>
  <si>
    <t>Indiquer toutes les activités supplémentaires ayant trait à la vaccination et à la supplémentation nutritionnelle menées au niveau national ou sous-national en 2016. Il peut s'agir d'activités concernant le vaccin antipoliomyélitique, le vaccin antiamaril, le vaccin antirougeoleux, le vaccin antirubéoleux, le vaccin antigrippal, les vaccins contre la méningite et l'anatoxine tétanique, les suppléments de vitamine A ou de fer, les vermifuges, ou la distribution de moustiquaires imprégnées.</t>
  </si>
  <si>
    <t>Prévues en 2017 et 2018</t>
  </si>
  <si>
    <t>Indiquer toutes les activités supplémentaires ayant trait à la vaccination et à la supplémentation nutritionnelle prévues en 2017 et en 2018 au niveau national ou sous-national. Il peut s'agir d'activités concernant le vaccin antipoliomyélitique, le vaccin antiamaril, le vaccin antirougeoleux, le vaccin antirubéoleux, le vaccin antigrippal, les vaccins contre la méningite et l'anatoxine tétanique, les suppléments de vitamine A ou de fer, les vermifuges, ou la distribution de moustiquaires imprégnées.</t>
  </si>
  <si>
    <r>
      <t xml:space="preserve">La </t>
    </r>
    <r>
      <rPr>
        <b/>
        <sz val="8"/>
        <rFont val="Verdana"/>
        <family val="2"/>
      </rPr>
      <t>colonne C</t>
    </r>
    <r>
      <rPr>
        <sz val="8"/>
        <rFont val="Verdana"/>
        <family val="2"/>
      </rPr>
      <t xml:space="preserve"> devra contenir le nombre total de cas confirmés, en incluant tous les cas confirmés par analyse en laboratoire ou détermination d’un lien épidémiologique. Les cas de rougeole clinique sont définis comme des cas fiévreux présentant une éruption maculopapuleuse (non vésiculaire) et de la toux, du coryza ou de la conjonctivite, pour lesquels aucun échantillon clinique approprié n’a été prélevé ou aucun lien épidémiologique n’a pu être établi avec un cas confirmé en laboratoire de rougeole ou d’une autre maladie transmissible. Les cas de rubéole clinique sont définis comme des cas présentant une éruption maculopapuleuse (non vésiculaire) et de la fièvre (si mesurée) ainsi qu’une arthrite/arthralgie ou une lymphadénopathie, pour lesquels aucun échantillon clinique approprié n’a été prélevé ou aucun lien épidémiologique n’a pu être établi avec un cas confirmé en laboratoire de rubéole ou d’une autre maladie transmissible. Dans le cadre d’un système de surveillance de la rougeole ou de la rubéole avec une définition du cas suspect ne spécifiant que de la fièvre et une éruption, les cas ne répondant pas à la définition de cas clinique ne devront pas être classés comme cliniquement compatibles. </t>
    </r>
  </si>
  <si>
    <t xml:space="preserve">2Ba. Achats et sources de vaccins </t>
  </si>
  <si>
    <t>2Bb. Prix des vaccins</t>
  </si>
  <si>
    <t>A.
Année d’entrée en vigueur du contrat</t>
  </si>
  <si>
    <t>B.
Type de vaccin</t>
  </si>
  <si>
    <t xml:space="preserve">Sélectionner le type de vaccin dans le menu déroulant produit. Si ce produit n’y figure pas, choisir l’option « Autre » dans la liste du menu et ajouter des commentaires le cas échéant dans la colonne « Commentaires ». </t>
  </si>
  <si>
    <t>Saisir le nombre de doses par récipient primaire. Le récipient primaire peut être un flacon, une ampoule, un applicateur, un tube en matière plastique, une seringue préremplie, etc.</t>
  </si>
  <si>
    <t>E.
Nom du fabricant</t>
  </si>
  <si>
    <t xml:space="preserve">L’entreprise fabriquant le vaccin, par exemple Serum Institute en Inde, Sanofi Pasteur, etc. Sélectionner le nom du fabricant dans le menu déroulant ou le saisir directement dans la cellule. </t>
  </si>
  <si>
    <t>F.
Nombre total de doses achetées</t>
  </si>
  <si>
    <t>Entrer le nombre de doses de chaque vaccin achetées à un prix spécifique. Utiliser des lignes séparées pour indiquer les produits achetés, si la présentation, le fabricant ou le prix du vaccin diffère.</t>
  </si>
  <si>
    <t xml:space="preserve">Saisir le nom de l’agence responsable des achats. Si cette agence ne figure pas dans la liste du menu déroulant, sélectionner « Autre » et entrer, le cas échéant, des commentaires dans la colonne « Commentaires ». Il est aussi possible d’utiliser la cellule « Commentaires » pour fournir plus de détails sur l’organisation des achats dans votre pays. </t>
  </si>
  <si>
    <r>
      <t xml:space="preserve">D.
Nombre de doses par récipient primaire
</t>
    </r>
    <r>
      <rPr>
        <sz val="8"/>
        <rFont val="Verdana"/>
        <family val="2"/>
      </rPr>
      <t>(ex. 1, 10, 20-dose etc.)</t>
    </r>
  </si>
  <si>
    <t>G.
Autorité responsable des achats de vaccins</t>
  </si>
  <si>
    <t>H.
Mécanisme d’achat</t>
  </si>
  <si>
    <t>Sélectionner le mécanisme d’achat dans le menu déroulant. Si votre pays fait appel à un mécanisme d’achat différent, non recensé dans la liste du menu déroulant, sélectionner « Autre » et entrer, le cas échéant, vos commentaires dans la colonne « Comments ». 
Procédures appliquées par l’entité chargée des achats pour faire l’acquisition des vaccins à un prix spécifié.
Mécanismes d’achat indépendant
- appel d’offres international ouvert : invite de manière formelle et structurée les soumissionnaires internationaux à fournir des marchandises clairement définies et spécifiées (c’est-à-dire des vaccins) ; 
- appel d’offres local ouvert : invite de manière formelle et structurée les soumissionnaires locaux basés dans le pays à fournir des marchandises clairement définies et spécifiées (c’est-à-dire des vaccins) ; 
- contrat direct : passation directe de contrats auprès d’un fabricant unique, sans concurrence entre les fournisseurs potentiels. On peut recourir à ce mécanisme à l’intérieur d’accords-cadres, qui définissent les conditions dans lesquelles des contrats d’achat individuel peuvent être passés sur une période déterminée. On peut également y faire appel pour l’achat d’articles indisponibles auprès de toutes les autres sources, ou dans des situations d’urgence ; 
- appel d’offres restreint : procédure d’appel d’offres formelle, qui invite uniquement des entreprises sélectionnées à soumettre une offre ; 
- demande de cotations : invitation informelle à soumettre une cotation pour une quantité limitée.
Mécanismes d’achat groupé
- Division des approvisionnements de l’UNICEF ;
- Fonds renouvelable de l’OPS ;
- autre mécanisme d’achat groupé.</t>
  </si>
  <si>
    <t>I.
Durée du contrat</t>
  </si>
  <si>
    <t xml:space="preserve">Sélectionner la réponse dans la liste du menu déroulant. « Livraison unique » signifie que le contrat ne prévoit qu’une livraison ponctuelle, sans spécification de durée du contrat. </t>
  </si>
  <si>
    <t>J.
Prix du vaccin par dose</t>
  </si>
  <si>
    <t>Saisir le prix par dose acquitté (dans la monnaie indiquée à la colonne « Monnaie ») conformément aux conditions de livraison contractuelles. Si le récipient primaire est une ampoule multidose, le prix ne devra pas être indiqué par récipient mais par dose. Utiliser des lignes séparées pour rapporter plusieurs achats du même produit si le prix d’achat du vaccin diffère.</t>
  </si>
  <si>
    <r>
      <t xml:space="preserve">K.
Monnaie
</t>
    </r>
    <r>
      <rPr>
        <sz val="8"/>
        <rFont val="Verdana"/>
        <family val="2"/>
      </rPr>
      <t>(EUR, USD, etc., par exemple)</t>
    </r>
  </si>
  <si>
    <t>L.
La taxe sur la valeur ajoutée (TVA) est-elle incluse dans le prix ?</t>
  </si>
  <si>
    <t xml:space="preserve">Indiquer si le prix mentionné dans la colonne K inclut ou non la TVA. Sélectionner la réponse dans le menu déroulant.  </t>
  </si>
  <si>
    <t xml:space="preserve">Si les vaccins sont soumis à la TVA dans votre pays, préciser le pourcentage de TVA qui s’applique à ce vaccin particulier. </t>
  </si>
  <si>
    <t xml:space="preserve">L’incoterm proposé à votre pays pour le prix spécifié, par exemple FCA, CIP, DDP, etc. Les règles Incoterms (International Commercial Terms, règles définissant les conditions du commerce international) désignent une série de conditions commerciales prédéfinies par la Chambre de commerce internationale (CCI). Elles sont largement utilisées dans les transactions commerciales ou les procédures d’achat internationales pour indiquer ce qui est inclus dans le prix (assurance, frais de transport et de manutention, points de livraison, etc.). Se référer au tableau d’Incoterms et à l’exemple de calcul fournis en annexe pour plus de précisions. Si l’incoterm pour un achat spécifique ne peut être identifié, sélectionner «Inconnu ». </t>
  </si>
  <si>
    <t>O.
Source de financement</t>
  </si>
  <si>
    <t>Origines des fonds utilisés pour acquérir les vaccins et les articles associés. Sélectionner la réponse dans le menu déroulant. Si la source de financement utilisée dans votre pays ne peut être identifiée dans la liste proposée par ce menu, sélectionner « Autre » et entrer le cas échéant des commentaires dans la colonne « Comments ». 
Précisions sur les réponses proposées dans la liste
- gouvernement central : le gouvernement paie les vaccins en prélevant sur son propre budget ;
- autorité infranationale : une entité administrative (régionale, par exemple) paie les vaccins ;
- organisme d’assurance-maladie : l’assurance-maladie paie les vaccins ;
- donateur : on utilise des fonds provenant d’un donateur pour les achats de vaccins, soit par paiement direct par ce donateur, soit par le biais de fonds de ce donateur intégrés au budget du gouvernement et spécifiquement affectés aux achats de vaccins ;
- financement mixte : le gouvernement et le donateur (GAVI, par exemple) cofinancent les vaccins.</t>
  </si>
  <si>
    <t>P.
Commentaires</t>
  </si>
  <si>
    <t xml:space="preserve">Toute note que vous souhaitez voir figurer pour mieux décrire le produit et les caractéristiques de l’achat (informations sur la livraison, composantes du prix, observations, données supplémentaires, etc.). Par exemple, dans certains pays, les conditions de livraison sont DDP à l’entrepôt central, tandis que dans d’autres, ce peut être DDP à l’entrepôt régional ou dans les entrepôts de district, ou encore DDP au niveau de la prestation de services. Ces informations sont essentielles pour comprendre ce que couvre le prix du vaccin. </t>
  </si>
  <si>
    <t xml:space="preserve"> Incoterms® 2010</t>
  </si>
  <si>
    <t>EXW</t>
  </si>
  <si>
    <t>FCA</t>
  </si>
  <si>
    <t>FAS</t>
  </si>
  <si>
    <t>FOB</t>
  </si>
  <si>
    <t>CFR</t>
  </si>
  <si>
    <t>CIF</t>
  </si>
  <si>
    <t>CPT</t>
  </si>
  <si>
    <t>CIP</t>
  </si>
  <si>
    <t>DAT</t>
  </si>
  <si>
    <t>DAP</t>
  </si>
  <si>
    <t>DDP</t>
  </si>
  <si>
    <t>http://www.iccwbo.org/products-and-services/trade-facilitation/incoterms-2010/the-incoterms-rules/</t>
  </si>
  <si>
    <t>EXPLICATIONS CONCERNANT LES INCOTERMS</t>
  </si>
  <si>
    <t>Les règles Incoterms, ou conditions commerciales internationales, sont une série de conditions commerciales prédéfinies publiées par la Chambre de commerce internationale (CCI). Elles sont largement utilisées dans les transactions ou les procédures d’achat internationales pour spécifier ce qui est inclus dans le prix (assurance, frais de transport et de manipulation, points de livraison, etc.).</t>
  </si>
  <si>
    <t xml:space="preserve">Répartition des coûts acheteur/vendeur selon les conditions commerciales Incoterms® 2010 </t>
  </si>
  <si>
    <t xml:space="preserve">Déclaration en douane d’exportation </t>
  </si>
  <si>
    <t>Rendu au port d’exportation</t>
  </si>
  <si>
    <t xml:space="preserve">Déchargement du camion dans le port d’exportation </t>
  </si>
  <si>
    <t>Frais de chargement dans le port d’exportation</t>
  </si>
  <si>
    <t>Rendu (fret maritime ou aérien) au port d’importation</t>
  </si>
  <si>
    <t>Droits de déchargement dans le port d’importation</t>
  </si>
  <si>
    <t>Chargement sur le camion au port d’importation</t>
  </si>
  <si>
    <t>Rendu au lieu de destination</t>
  </si>
  <si>
    <t>Assurance</t>
  </si>
  <si>
    <t>Dédouanement pour l’importation</t>
  </si>
  <si>
    <t>Taxes d’importation</t>
  </si>
  <si>
    <t>Acheteur</t>
  </si>
  <si>
    <t>Vendeur</t>
  </si>
  <si>
    <r>
      <rPr>
        <sz val="11"/>
        <rFont val="Calibri"/>
        <family val="2"/>
      </rPr>
      <t>« Incoterms » est une marque commerciale de la Chambre de commerce internationale (CCI). 
Pour en savoir plus, se rendre sur le site Web de la CCI :</t>
    </r>
    <r>
      <rPr>
        <sz val="11"/>
        <color indexed="8"/>
        <rFont val="Calibri"/>
        <family val="2"/>
      </rPr>
      <t xml:space="preserve">
</t>
    </r>
  </si>
  <si>
    <t xml:space="preserve">REGLES APPLICABLES TOUS LES MODES DE TRANSPORT </t>
  </si>
  <si>
    <t>L’incoterm « À l’usine » signifie que le vendeur livre les marchandises lorsque qu’il les met à la disposition de l’acheteur dans les locaux du vendeur ou dans un autre lieu désigné (atelier, usine, entrepôt, etc.). Le vendeur n’a besoin ni de charger les marchandises sur un véhicule de collecte, ni de les dédouaner pour l’exportation, lorsqu’un tel dédouanement s’impose.</t>
  </si>
  <si>
    <r>
      <t>·</t>
    </r>
    <r>
      <rPr>
        <sz val="7"/>
        <color indexed="8"/>
        <rFont val="Times New Roman"/>
        <family val="1"/>
      </rPr>
      <t xml:space="preserve">         </t>
    </r>
    <r>
      <rPr>
        <sz val="10"/>
        <color indexed="8"/>
        <rFont val="Arial"/>
        <family val="2"/>
      </rPr>
      <t xml:space="preserve">EXW Ex Works (À l’usine) </t>
    </r>
  </si>
  <si>
    <t> •     FCA Free Carrier (Franco transporteur)</t>
  </si>
  <si>
    <t>L’incoterm « Franco transporteur » signifie que le vendeur livre les marchandises au transporteur ou à une autre personne nommée par l’acheteur dans les locaux du vendeur ou un autre lieu désigné. Il est bien conseillé aux parties de spécifier aussi clairement que possible le point de livraison sur le lieu désigné, car c’est en ce point que le risque est transféré à l’acheteur.</t>
  </si>
  <si>
    <r>
      <t>·</t>
    </r>
    <r>
      <rPr>
        <sz val="10"/>
        <color indexed="8"/>
        <rFont val="Arial"/>
        <family val="2"/>
      </rPr>
      <t>        CPT (Port payé jusqu’à)</t>
    </r>
  </si>
  <si>
    <t xml:space="preserve">L’incoterm « port payé jusqu’à » signifie que le vendeur livre les marchandises au transporteur ou à une autre personne nommée par le vendeur en un lieu convenu (si un tel lieu est convenu entre les parties) et que le vendeur doit passer contrat et s’acquitter des coûts pour le transport des marchandises jusqu’au lieu de destination désigné. </t>
  </si>
  <si>
    <r>
      <t>·</t>
    </r>
    <r>
      <rPr>
        <sz val="7"/>
        <color indexed="8"/>
        <rFont val="Times New Roman"/>
        <family val="1"/>
      </rPr>
      <t xml:space="preserve">         </t>
    </r>
    <r>
      <rPr>
        <sz val="10"/>
        <color indexed="8"/>
        <rFont val="Arial"/>
        <family val="2"/>
      </rPr>
      <t>CIP (Port payé, assurance comprise, jusqu’à)</t>
    </r>
  </si>
  <si>
    <t xml:space="preserve">L’incoterm « Port payé, assurance comprise, jusqu’à » signifie que le vendeur livre les marchandises au transporteur ou à une autre personne nommée par le vendeur en un lieu convenu (si un tel lieu est convenu entre les parties) et que le vendeur doit passer contrat et s’acquitter des coûts pour le transport des marchandises jusqu’au lieu de destination désigné. Le vendeur contracte également une assurance couvrant le risque pour l’acheteur de perte ou de détérioration des marchandises pendant le transport. L’acheteur devra noter que l’incoterm CIP n’impose au vendeur qu’une couverture minimale. Si l’acheteur souhaite une assurance apportant une plus grande protection, il devra soit en convenir expressément avec le vendeur, soit prendre lui-même des dispositions supplémentaires en matière d’assurance. </t>
  </si>
  <si>
    <r>
      <t>·</t>
    </r>
    <r>
      <rPr>
        <sz val="7"/>
        <color indexed="8"/>
        <rFont val="Times New Roman"/>
        <family val="1"/>
      </rPr>
      <t xml:space="preserve">         </t>
    </r>
    <r>
      <rPr>
        <sz val="10"/>
        <color indexed="8"/>
        <rFont val="Arial"/>
        <family val="2"/>
      </rPr>
      <t>DAT Delivered At Terminal (Rendu au terminal)</t>
    </r>
  </si>
  <si>
    <t xml:space="preserve">L’incoterm « Rendu au terminal » signifie que le vendeur effectue la livraison lorsque les marchandises, une fois déchargées du moyen de transport arrivant, sont mises à la disposition de l’acheteur au niveau du terminal désigné du port ou du lieu de destination désigné. Le « terminal » comprend un lieu, couvert ou non, tel qu’un quai, un entrepôt, un parc ou une voie à conteneurs ou un terminal ferroviaire ou aérien. Le vendeur supporte tous les risques que comporte le transport des marchandises au terminal du port ou du lieu de destination désigné et leur déchargement en ce lieu. </t>
  </si>
  <si>
    <r>
      <t>·</t>
    </r>
    <r>
      <rPr>
        <sz val="7"/>
        <color indexed="8"/>
        <rFont val="Times New Roman"/>
        <family val="1"/>
      </rPr>
      <t xml:space="preserve">         </t>
    </r>
    <r>
      <rPr>
        <sz val="10"/>
        <color indexed="8"/>
        <rFont val="Arial"/>
        <family val="2"/>
      </rPr>
      <t>DAP Delivered At Place (Rendu au lieu de destination convenu)</t>
    </r>
  </si>
  <si>
    <t xml:space="preserve">L’incoterm « Rendu au lieu de destination convenu » signifie que le vendeur livre les marchandises lorsqu’il les met à la disposition de l’acheteur sur le moyen de transport arrivant, prêtes à être déchargées sur le lieu de destination désigné. Le vendeur supporte tous les risques que comporte le transport des marchandises sur le lieu désigné. </t>
  </si>
  <si>
    <r>
      <t>·</t>
    </r>
    <r>
      <rPr>
        <sz val="7"/>
        <color indexed="8"/>
        <rFont val="Times New Roman"/>
        <family val="1"/>
      </rPr>
      <t xml:space="preserve">         </t>
    </r>
    <r>
      <rPr>
        <sz val="10"/>
        <color indexed="8"/>
        <rFont val="Arial"/>
        <family val="2"/>
      </rPr>
      <t>DDP Delivered Duty Paid (Rendu droits acquittés)</t>
    </r>
  </si>
  <si>
    <t>L’incoterm « Rendu droits acquittés » signifie que le vendeur livre les marchandises lorsque celles ci sont mises à la disposition de l’acheteur sur le moyen de transport arrivant, dédouanées pour l’importation et prêtes à être déchargées sur le lieu de destination désigné. Le vendeur endosse tous les coûts et les risques associés au transport des marchandises sur le lieu de destination et a l’obligation de dédouaner les marchandises non seulement pour l’exportation, mais aussi pour l’importation, et de s’acquitter de tout droit lié à ces opérations et de l’ensemble des formalités douanières</t>
  </si>
  <si>
    <t>HepB, dose à la naissance (total) (avant et après les premières 24heures)</t>
  </si>
  <si>
    <t xml:space="preserve">Vaccin antiméningococcique A </t>
  </si>
  <si>
    <t xml:space="preserve">Votre système d’enregistrement permet-il de collecter des données, au niveau national, sur le nombre de doses différées ou tardives administrées (c’est-à-dire de doses délivrées à des enfants ayant atteint un âge supérieur à celui recommandé pour recevoir la dose vaccinale selon le calendrier de vaccination national) ? </t>
  </si>
  <si>
    <t>Pour les pays où l’on administre la première dose de vaccin contenant une valence rougeole (MCV1; c’est-à-dire M1, MR1, MMR1, MMRV1) dans le calendrier national avant l’âge de 12 mois (9-11 mois, par exemple), indiquer le nombre total de doses de M1, MR1, MMR1 ou MMRV1 délivrées par les services de vaccination systématique au cours de la deuxième année de vie (c’est-à-dire entre 12 et 23 mois). Ne pas inclure les doses de vaccin contenant une valence rougeole administrées dans le cadre d’activités de vaccination supplémentaire non sélectives ou les deuxièmes doses de vaccin contenant une valence rougeole (MCV2) administrées par les services de vaccination systématique.</t>
  </si>
  <si>
    <t xml:space="preserve">Pour les pays où l’on administre la première dose de vaccin contenant une valence rougeole, selon le calendrier national, à 12 mois ou plus, indiquer le nombre total de doses M1, MR1, MMR1 ou MMRV1 délivrées tardivement, selon la définition de ce terme dans le pays. La définition d’une dose tardive peut varier d’un pays à l’autre en fonction des pratiques de déclaration. Ne pas inclure les doses de MCV administrées dans le cadre d’AVS ou les doses MCV2. </t>
  </si>
  <si>
    <t>HepB, dose à la naissance - total ( inclure les doses données dans les 24h après la naissance et jusqu'à la première dose)</t>
  </si>
  <si>
    <t xml:space="preserve">Les estimations officielles mentionnées plus haut de la couverture vaccinale des nouveau nés et des nourrissons incluent-elles les vaccins délivrés par des prestataires privés, indépendamment de la source du vaccin. </t>
  </si>
  <si>
    <t>Les prestataires privés peuvent être des médecins, des infirmiers ou des infirmières, des sages femmes ou des pharmaciens directement impliqués dans l’administration des vaccins ; ils peuvent travailler à temps complet pour le secteur privé ou dans le secteur public ou être employés à temps partiel par le secteur privé. Cette question se réfère à la délivrance des vaccins, indépendamment de la personne qui les procure. 
Dans cette définition, les prestataires privés n’incluent pas la sécurité sociale, les ONG, les forces armées et les prestataires exerçant une activité missionnaire/confessionnelle, car leur contribution à la couverture vaccinale est décomptée séparément. 
Si les prestataires ne sont impliqués que partiellement, spécifier le pourcentage de participation.</t>
  </si>
  <si>
    <t>Si partiellement, préciser le poucentage</t>
  </si>
  <si>
    <t>Les estimations officielles mentionnées plus haut de la couverture vaccinale des nouveau-nés et des nourrissons incluent-elles les vaccins délivrés par la sécurité sociale, les organisations non gouvernementales (ONG), les forces armées ou des acteurs exerçant une activité missionnaire/confessionnelle indépendamment de la source du vaccin ?</t>
  </si>
  <si>
    <t xml:space="preserve">Dans le cas positif, quel outil a été utilisé ? </t>
  </si>
  <si>
    <t>L’« Outil d’évaluation des GTCV », mis au point par l’OMS et par le centre « Politique de santé et développement institutionnel » (HPID) de l’AMP (Centre collaborateur de l’OMS pour une prise de décisions sur la vaccination reposant sur des bases factuelles)</t>
  </si>
  <si>
    <t>Autre outil : indiquer lequel dans la cellule destinée aux commentaires explicatifs</t>
  </si>
  <si>
    <t>Cet outil est disponible au centre de ressources des GTCV:
http://www.nitag-resource.org/media-center/document/1517-evaluation-tool-for-national-immunization-technical-advisory-groups-nitags</t>
  </si>
  <si>
    <t xml:space="preserve">Au niveau national, les vaccins sont-ils entreposés et/ou transportés avec d’autres produits de santé ? </t>
  </si>
  <si>
    <t>Répondre « Oui » si, au niveau national, des vaccins sont entreposés, transportés et/ou gérés avec d’autres produits de santé, psychotropes, produits pharmaceutiques ou médicaments. Une telle réponse indiquera que votre pays dispose d’une chaîne d’approvisionnement sanitaire plus intégrée et que les vaccins sont conservés, transportés et/ou gérés dans le cadre des activités d’une pharmacie centrale. Répondre « Non » si les vaccins sont gérés et manipulés séparément dans un système de chaîne du froid spécialement affecté et dans un entrepôt de vaccins et un système de transport séparés. Une réponse négative indiquera que votre pays dispose d’une chaîne d’approvisionnement en vaccins verticale, séparée de la pharmacie centrale.</t>
  </si>
  <si>
    <t xml:space="preserve">Existe-t-il une politique formelle préconisant de ne pas conserver et/ou transporter avec les vaccins d’autres produits pharmaceutiques thermosensibles ? </t>
  </si>
  <si>
    <t xml:space="preserve">La conservation et/ou le transport d’autres produits pharmaceutiques thermosensibles dans la chaîne du froid des vaccins sont-ils pratiqués à un niveau quelconque de la chaîne d’approvisionnement en vaccins ? </t>
  </si>
  <si>
    <t xml:space="preserve">À la différence des questions 6490 et 6500 axées sur les pratiques et les politiques au niveau national, cette question porte sur la pratique consistant à conserver d’autres produits pharmaceutiques thermosensibles avec les vaccins au niveau infranational et au niveau de la prestation de services (par exemple stockage d’ocytocine, d’insuline, de sérums, d’antivenins, de kits de test ... dans la chaîne du froid des vaccins). Répondre «Oui » si de tels produits pharmaceutiques sont conservés avec les vaccins dans la chaîne du froid vaccinale. Sinon, répondre « Non ». </t>
  </si>
  <si>
    <t>Sur le nombre total d’événements indésirables signalés (ligne précédente), combien étaient « graves » ?</t>
  </si>
  <si>
    <t xml:space="preserve">Une MAPI sera considérée comme grave si elle provoque un décès, menace le pronostic vital, requiert l’hospitalisation du patient ou la prolongation d’une hospitalisation en cours, entraîne un handicap/une incapacité important(e) ou une anomalie congénitale/un défaut de naissance. D’autres situations, comme d’autres événements médicaux conséquents, susceptibles de bouleverser la vie du patient ou de nécessiter une intervention pour prévenir l’un des événements précédemment mentionnés, devront aussi être considérées comme graves à l’issue d’une évaluation médicale et scientifique. </t>
  </si>
  <si>
    <t xml:space="preserve">La source des données sur le nombre de manifestations postvaccinales indésirables (rangée 6560) est: </t>
  </si>
  <si>
    <t xml:space="preserve">Indiquer si les signalements émanent du Programme élargi de vaccination (PEV) ou de l’autorité nationale de réglementation (ANR). Sélectionner à la fois PEV et ANR si les données de ces deux sources ont été regroupées. Si les données proviennent d’une autre source (telle qu’un centre national de pharmacovigilance ou un fabricant), sélectionner « Autre ». </t>
  </si>
  <si>
    <t>En 2016, qu’a fait le programme national de vaccination (à l’échelle nationale ou infranationale) pour promouvoir ou soutenir la demande publique (émanant des individus et des collectivités) en vaccins et en services de vaccination (directement ou indirectement, seul ou de manière coordonnée avec/par le biais d’autres agences partenaires et/ou d’organisations de la société civile) ?</t>
  </si>
  <si>
    <t>Activités de mise en œuvre (formation, par exemple) en vue de préparer, de prévenir ou de prendre en charge la survenue de manifestations postvaccinales indésirables (MAPI) ou d’autres événements associés aux vaccins (répondre aux rumeurs, par exemple), ou de communiquer à leur sujet ?</t>
  </si>
  <si>
    <t xml:space="preserve">Partenariat avec la direction locale et/ou des organisations de la société civile pour améliorer la qualité et la fiabilité des services, y compris la recherche des problèmes au niveau communautaire. </t>
  </si>
  <si>
    <t xml:space="preserve">Formation des agents de santé pour leur apporter des compétences en communication interpersonnelle. </t>
  </si>
  <si>
    <t>Le programme national de vaccination (au niveau national ou infranational) a-t-il mis en œuvre d’autres activités (directement ou indirectement, seul ou de manière coordonnée avec/par le biais d’autres agences partenaires et/ou d’organisations de la société civile), ou fait quelque chose d’autre pour stimuler et soutenir la demande publique en vaccins et en services de vaccination ? Décrire jusqu’à trois de ces activités.</t>
  </si>
  <si>
    <t>Vaccin, 
supplément nutritionnel</t>
  </si>
  <si>
    <t>2630</t>
  </si>
  <si>
    <t>2640</t>
  </si>
  <si>
    <t>2650</t>
  </si>
  <si>
    <t>INDIQUER DANS LES LIGNES CI-APRÈS D'AUTRES VACCINS</t>
  </si>
  <si>
    <r>
      <t xml:space="preserve">Indiquer dans le tableau suivant le calendrier des vaccinations systématiques pour </t>
    </r>
    <r>
      <rPr>
        <b/>
        <sz val="10"/>
        <color indexed="60"/>
        <rFont val="Verdana"/>
        <family val="2"/>
      </rPr>
      <t>2016</t>
    </r>
    <r>
      <rPr>
        <sz val="10"/>
        <color indexed="60"/>
        <rFont val="Verdana"/>
        <family val="2"/>
      </rPr>
      <t>. Mentionner toutes les doses administrées systématiquement aux jeunes enfants, aux adolescents et aux adultes. Chaque rangée décrit un vaccin ou un vaccin combiné. Préciser si de la vitamine A a été délivrée à l'occasion de la vaccination systématique.
S'il est prévu d'introduire un vaccin ou un supplément alimentaire, indiquer le mois et l'année dans les colonnes G-H.
Si certains vaccins ne figurent pas dans le calendrier, indiquez-les au bas du tableau.</t>
    </r>
  </si>
  <si>
    <t xml:space="preserve">Autorités nationales </t>
  </si>
  <si>
    <t>Autorités infranationales</t>
  </si>
  <si>
    <t xml:space="preserve">Prestataires de services </t>
  </si>
  <si>
    <t xml:space="preserve">Tierce partie </t>
  </si>
  <si>
    <t>Autre</t>
  </si>
  <si>
    <t>Applicateur</t>
  </si>
  <si>
    <t xml:space="preserve">Tube en matière plastique </t>
  </si>
  <si>
    <t>Seringue préremplie</t>
  </si>
  <si>
    <t xml:space="preserve">Pulvérisateur </t>
  </si>
  <si>
    <t xml:space="preserve">Jeu de deux flacons </t>
  </si>
  <si>
    <t xml:space="preserve">Flacon </t>
  </si>
  <si>
    <t>Système Uniject</t>
  </si>
  <si>
    <t>Flacon + ampoule</t>
  </si>
  <si>
    <t xml:space="preserve">Flacon + sachet de tampon </t>
  </si>
  <si>
    <t>Inconnu</t>
  </si>
  <si>
    <t xml:space="preserve">EXW = EX WORKS (À l’usine) </t>
  </si>
  <si>
    <t xml:space="preserve">FCA = FREE CARRIER (Franco transporteur) </t>
  </si>
  <si>
    <t xml:space="preserve">CPT = CARRIAGE PAID TO (Port payé jusqu’à) </t>
  </si>
  <si>
    <t>CIP = CARRIAGE AND INSURANCE PAID TO (Port payé, assurance comprise, jusqu’à)</t>
  </si>
  <si>
    <t xml:space="preserve">DAT = DELIVERED AT TERMINAL (Rendu au terminal) </t>
  </si>
  <si>
    <t>DAP = DELIVERED AT PLACE (Rendu au lieu de destination convenu)</t>
  </si>
  <si>
    <t xml:space="preserve">DDP = DELIVERED DUTY PAID (Rendu droits acquittés) </t>
  </si>
  <si>
    <t xml:space="preserve">CFR = COST AND FREIGHT (Coût et fret) </t>
  </si>
  <si>
    <t>FAS = FREE ALONGSIDE SHIP (Franco le long du navire)</t>
  </si>
  <si>
    <t xml:space="preserve">FOB = FREE ON BOARD (Franco à bord) </t>
  </si>
  <si>
    <t>CIF = COST INSURANCE AND FREIGHT (Coût, assurance et frais)</t>
  </si>
  <si>
    <t>DES = DELIVERED EX SHIP (Rendu sur le navire)</t>
  </si>
  <si>
    <t xml:space="preserve">DEQ = DELIVERED EX QUAY (Rendu à quai) </t>
  </si>
  <si>
    <t>DDU = DELIVERD DUTY UNPAID (Rendu droits non acquittés)</t>
  </si>
  <si>
    <t>UNICEF, Division des approvisionnements</t>
  </si>
  <si>
    <t>Fonds renouvelable de l’OPS</t>
  </si>
  <si>
    <t xml:space="preserve">Autre achat groupé </t>
  </si>
  <si>
    <t>Appel d’offres international ouvert (achat indépendant)</t>
  </si>
  <si>
    <t>Appel d’offres local ouvert (achat indépendant)</t>
  </si>
  <si>
    <t>Contrat direct/source unique (achat indépendant)</t>
  </si>
  <si>
    <t>Appel d’offres restreint (achat indépendant)</t>
  </si>
  <si>
    <t>Demande de cotations (achat indépendant)</t>
  </si>
  <si>
    <t xml:space="preserve">Gouvernement central </t>
  </si>
  <si>
    <t xml:space="preserve">Organisme d’assurance-maladie </t>
  </si>
  <si>
    <t>Donateur</t>
  </si>
  <si>
    <t>Mixte (gouvernement et donateur)</t>
  </si>
  <si>
    <t xml:space="preserve">Indiquer si le nombre total de doses différées ou tardives est systématiquement recensé et disponible au niveau national. Les doses de vaccin « différées ou tardives » sont les doses administrées à des enfants ayant atteint un âge supérieur à celui recommandé pour recevoir la dose vaccinale selon le calendrier de vaccination national ou tel que spécifié au plan national. Ajouter toute explication éventuellement nécessaire dans la section «Commentaires». </t>
  </si>
  <si>
    <t>Vaccin anti-papillomavirus humain</t>
  </si>
  <si>
    <t>VPH</t>
  </si>
  <si>
    <t>Exactitude des doses du vaccin VPH rapportées</t>
  </si>
  <si>
    <t>Choléra</t>
  </si>
  <si>
    <t>VPOm1</t>
  </si>
  <si>
    <t>Délais de financement</t>
  </si>
  <si>
    <t>Prévisions inexactes</t>
  </si>
  <si>
    <t>Ordres non entièrement respectés</t>
  </si>
  <si>
    <t>Problèmes de gestion des stocks</t>
  </si>
  <si>
    <t>Délais des approvisionnements</t>
  </si>
  <si>
    <t>Pénurie mondiale de vaccins</t>
  </si>
  <si>
    <t>Question de qualité sur le vaccin</t>
  </si>
  <si>
    <t>Autre / Non identifié / Non connu</t>
  </si>
  <si>
    <t>Programme PEV</t>
  </si>
  <si>
    <t>Autorité Nationale de Réglementation (ANR)</t>
  </si>
  <si>
    <t>Les deux: PEV et ANR ensemble</t>
  </si>
  <si>
    <t>Livraison unique</t>
  </si>
  <si>
    <t>1 an</t>
  </si>
  <si>
    <t>2 ans</t>
  </si>
  <si>
    <t>3 ans</t>
  </si>
  <si>
    <t>4 ans</t>
  </si>
  <si>
    <t>5 ans</t>
  </si>
  <si>
    <t>5+ années</t>
  </si>
  <si>
    <t>Ne sait pas</t>
  </si>
  <si>
    <t>Répondre « Oui » s’il existe une politique nationale préconisant spécifiquement de ne pas conserver ou transporter les vaccins avec d’autres produits pharmaceutiques thermosensibles nécessitant le maintien dans une chaîne du froid. Répondre « Non » s’il n’existe pas de politique nationale s’opposant à la conservation, à la gestion et au transport des vaccins avec d’autres produits pharmaceutiques thermosensibles. À noter que les réponses à la question 6500 sont sans lien avec les réponses à la question 6490. En d’autres termes, on peut pratiquer, au niveau national, la conservation, le transport et/ou la gestion des vaccins avec d’autres produits de santé, sans qu’il y ait de politique formelle à ce sujet. L’inverse peut aussi être vrai.</t>
  </si>
  <si>
    <t>Répondez « oui » s’il y a eu au moins un cas où le niveau des stocks de vaccins à l’échelon national est tombé à zéro pour l’année considérée (y compris le stock régulateur de trois mois qui est préconisé). Sinon, cochez « non » sauf si l’une des deux situations ci-après s’applique :
• Le vaccin n’est pas celui qui figure dans le programme national de vaccination, indiquez alors « sans objet ».
• Le vaccin figure dans le programme national de vaccination et la réponse à la question n’est pas connue, indiquez alors « non disponible ».</t>
  </si>
  <si>
    <r>
      <t xml:space="preserve">Dans la </t>
    </r>
    <r>
      <rPr>
        <b/>
        <sz val="8"/>
        <rFont val="Verdana"/>
        <family val="2"/>
      </rPr>
      <t>colonne A</t>
    </r>
    <r>
      <rPr>
        <sz val="8"/>
        <rFont val="Verdana"/>
        <family val="2"/>
      </rPr>
      <t>, entrer le nombre total de cas suspects pour lesquels un échantillon a été prélevé et testé en laboratoire, quel qu'en soit le résultat final.</t>
    </r>
  </si>
  <si>
    <t xml:space="preserve">Pour chacun des vaccins faisant l’objet du rapport, préciser l’année où le contrat d’approvisionnement est entré en vigueur. De préférence, les données devraient refléter les achats effectués au cours de l'année précédente. Dans le cas des contrats portant sur plusieurs années, choisir l’année où le contrat a été initialement signé. </t>
  </si>
  <si>
    <t xml:space="preserve">Sélectionner le type de présentation dans le menu déroulant. Si ce type de vaccin ne figure pas dans le menu, saisir son nom directement dans la cellule. </t>
  </si>
  <si>
    <t xml:space="preserve">Dans le menu déroulant, sélectionnez la devise stipulée dans le contrat d’achat (par exemple: EUR, USD,…). Si le paiement est effectué dans la monnaie locale avec un taux de change vers une autre monnaie fixé par le contrat avec le fabricant, merci d’indiquer ce taux de change dans la colonne « commentaires ».  </t>
  </si>
  <si>
    <r>
      <t xml:space="preserve">En 2015, les ministres de la santé ont voté à l’Assemblée mondiale de la Santé (WHA) la résolution WHA68.6 concernant le Plan d’action mondial pour les vaccins (GVAP), en invitant instamment les États Membres « à fournir à l’OMS, si possible et quand elles sont disponibles, des données récentes sur les prix des vaccins ». Les informations collectées sont mises à la disposition des États Membres afin qu’ils en tirent parti pour améliorer la prise de décisions concernant l’introduction et la budgétisation de nouveaux vaccins ainsi que l’accès à des prix abordables. 
En 2016, l’OMS a décidé d’inclure les informations relatives aux prix et aux achats de vaccins dans le formulaire commun OMS/UNICEF en vue de faire revenir ces informations aux Assemblées mondiales de la Santé ultérieures, par le biais du suivi annuel du GVAP et en tant que moyen d’accroître la transparence à l’égard des États Membres de l’OMS. 
Les données recueillies dans cette feuille de travail et les analyses ultérieures seront mises à disposition sur le site Web V3P (Vaccine Product, Price and Procurement) : www.who.int/immunization/v3p.
Certaines des questions posées dans ce formulaire nécessitant des connaissances techniques sur les achats et les prix des vaccins, il est conseillé de solliciter pour y répondre des informations auprès des responsables nationaux des achats. 
On recueillera ces informations auprès de l’autorité pertinente au ministère de la santé qui y a accès. 
</t>
    </r>
    <r>
      <rPr>
        <sz val="10"/>
        <color indexed="10"/>
        <rFont val="Verdana"/>
        <family val="2"/>
      </rPr>
      <t xml:space="preserve">Note : Pour les pays effectuant leurs achats par le biais du Fonds renouvelable de l’OPS, laisser de côté les indicateurs de prix en 2Bb, car cette information est directement fournie par ce fonds à la base de données V3P. </t>
    </r>
    <r>
      <rPr>
        <sz val="10"/>
        <color indexed="60"/>
        <rFont val="Verdana"/>
        <family val="2"/>
      </rPr>
      <t xml:space="preserve">
</t>
    </r>
  </si>
  <si>
    <r>
      <t xml:space="preserve">Utiliser les colonnes A à I pour enregistrer les sources d'approvisionnement des vaccins et les informations sur les achats concernant l’ensemble des vaccins dont l’acquisition a été faite sur la période de rapport allant du 1er janvier au 31 décembre 2016. </t>
    </r>
    <r>
      <rPr>
        <sz val="10"/>
        <color indexed="60"/>
        <rFont val="Verdana"/>
        <family val="2"/>
      </rPr>
      <t xml:space="preserve">
</t>
    </r>
    <r>
      <rPr>
        <i/>
        <sz val="10"/>
        <color indexed="60"/>
        <rFont val="Verdana"/>
        <family val="2"/>
      </rPr>
      <t>Si l’on a fait appel à plusieurs fabricants ou à plusieurs mécanismes d’achat pour le même vaccin, donner la liste complète de ces fabricants et de ces mécanismes. 
S’assurer que tous les vaccins inscrits dans le formulaire « 2A.Calendrier » sont aussi indiqués ici.</t>
    </r>
  </si>
  <si>
    <r>
      <t xml:space="preserve">Utiliser les colonnes J à P pour fournir des informations sur les prix des vaccins achetés pendant la période de rapport allant du 1er janvier au 31 décembre 2016. 
Ne pas hésiter à donner des détails et des éclaircissements dans la section « Commentaires ». 
</t>
    </r>
    <r>
      <rPr>
        <i/>
        <sz val="10"/>
        <color indexed="60"/>
        <rFont val="Verdana"/>
        <family val="2"/>
      </rPr>
      <t xml:space="preserve">Si l’on a fait appel à plusieurs fabricants ou plusieurs mécanismes d’achat pour le même vaccin, donner la liste complète de ces fabricants et de ces mécanismes. </t>
    </r>
  </si>
  <si>
    <r>
      <t xml:space="preserve">C.
Présentation </t>
    </r>
    <r>
      <rPr>
        <sz val="8"/>
        <rFont val="Verdana"/>
        <family val="2"/>
      </rPr>
      <t>(par exemple flacon, ampoule, etc.)</t>
    </r>
  </si>
  <si>
    <t xml:space="preserve">M.
Si oui, quel est le pourcentage de TVA ? </t>
  </si>
  <si>
    <t>Quels groupes de population à risque est-il, le cas échéant, préconisé par la politique nationale (gouvernementale) de vacciner contre la grippe saisonnière ?</t>
  </si>
  <si>
    <t>Quelles sont, en 2016, les trois principales raisons de la réticence à accepter les vaccins du programme national ?</t>
  </si>
  <si>
    <t>Nom du contact à l'OMS (Nom du contact à l'OMS dans le bureau de l'OMS s'il existe)</t>
  </si>
  <si>
    <t>Pour la FIEVRE JAUNE: n'inclure dans la colonne D que les cas testés et confirmés en laboratoire.</t>
  </si>
  <si>
    <t>POUR L’ENCÉPHALITE JAPONAISE : ne pas notifier les cas cliniquement confirmés.</t>
  </si>
  <si>
    <r>
      <t xml:space="preserve">Indiquer dans le tableau de la section 2A le calendrier vaccinal national pour 2016 et les vaccins qu'il est prévu d'introduire. Compléter les lignes correspondant à tous les vaccins et suppléments actuellement administrés dans le pays. 
</t>
    </r>
    <r>
      <rPr>
        <b/>
        <sz val="8"/>
        <rFont val="Verdana"/>
        <family val="2"/>
      </rPr>
      <t xml:space="preserve">Colonnes A-F </t>
    </r>
    <r>
      <rPr>
        <sz val="8"/>
        <rFont val="Verdana"/>
        <family val="2"/>
      </rPr>
      <t xml:space="preserve">: Indiquer l'âge auquel chaque dose de vaccin ou supplément est administré(e), en utilisant les codes suivants : N=naissance, J=jours, S=semaines, M=mois et A=années. Indiquer un nombre après le code (par exemple 6 mois=M6). </t>
    </r>
  </si>
  <si>
    <r>
      <t>Lignes 2540-2620</t>
    </r>
    <r>
      <rPr>
        <sz val="10"/>
        <rFont val="Arial"/>
        <family val="0"/>
      </rPr>
      <t xml:space="preserve"> : </t>
    </r>
    <r>
      <rPr>
        <sz val="8"/>
        <rFont val="Verdana"/>
        <family val="2"/>
      </rPr>
      <t xml:space="preserve">Utilisez des lignes supplémentaires si vous souhaitez fournir d'autres renseignements. Dans la section 2A, indiquez dans cet espace les vaccins utilisés mais qui ne sont pas mentionnés plus haut. </t>
    </r>
  </si>
  <si>
    <t xml:space="preserve">Instructions pour la section 2A. Calendrier
</t>
  </si>
  <si>
    <t>Préciser l'âge ciblé ou le niveau scolaire et mentionner si la vaccination concerne les filles seulement ou également les garçons ainsi que tout groupe spécial</t>
  </si>
  <si>
    <t>Indiquez le nombre de documents conservés à domicile et imprimés pour consigner les vaccinations administrées à des femmes d’âge fertile. Peuvent y être inclus les fiches de vaccination antitétanique/contre le tétanos et la diphtérie ou les carnets de santé maternelle.
Utilisez la colonne « Explications » pour exposer brièvement quelle est la source du nombre de documents conservés à domicile (par exemple impression des factures ou des bons de commande, estimation fondée sur les naissances auxquelles s’ajoutent les vaccinations tardives, etc.).
Si les documents conservés à domicile pour les femmes d’âge fertile sont imprimés au niveau infranational plutôt qu’au niveau national et qu’on ne dispose d’aucune donnée, indiquez alors ND pour « non disponible » et fournissez une explication.
Si les documents conservés à domicile pour les femmes d’âge fertile sont imprimés en vue d’une distribution dépassant une année, indiquez alors le nombre de documents censés être distribués au cours de l’année 2016.
Si les services de vaccination du secteur privé se fondent sur un document de santé conservé à domicile qui diffère de celui utilisé par les services de vaccination publics, veuillez rédiger une note dans la colonne « Explications » en signalant si le nombre de documents imprimés comprend l’estimation des documents conservés à domicile qui sont délivrés par le secteur privé.
Veuillez utiliser la colonne « Explications » pour préciser si le nombre total de documents de santé conservés à domicile, qui est fourni, renvoie au carnet de santé de la mère et de l’enfant ainsi qu’aux fiches de vaccination antitétanique/contre le tétanos et la diphtérie, le cas échéant.
Si le pays n’utilise pas de documents de santé conservés à domicile pour les femmes d’âge fertile, indiquez SO pour « sans objet ».</t>
  </si>
  <si>
    <r>
      <t xml:space="preserve">Fournir </t>
    </r>
    <r>
      <rPr>
        <b/>
        <sz val="8"/>
        <rFont val="Verdana"/>
        <family val="2"/>
      </rPr>
      <t>TOUTES</t>
    </r>
    <r>
      <rPr>
        <sz val="8"/>
        <rFont val="Verdana"/>
        <family val="2"/>
      </rPr>
      <t xml:space="preserve"> les doses de vaccin contre l’hépatite B qui sont administrées de la naissance à la date d’injection de la première dose de vaccin contre cette maladie (HepB1) ou en fonction des orientations nationales concernant la tranche d’âge supérieure. Cet indicateur N’est PAS équivalent à HepB1. Spécifier la politique du pays concernant la limite d’âge supérieure pour la dose de naissance contre l’hépatite B.  </t>
    </r>
  </si>
  <si>
    <r>
      <rPr>
        <b/>
        <sz val="8"/>
        <rFont val="Verdana"/>
        <family val="2"/>
      </rPr>
      <t>Dans le cas positif</t>
    </r>
    <r>
      <rPr>
        <sz val="8"/>
        <rFont val="Verdana"/>
        <family val="2"/>
      </rPr>
      <t>, répondre à l’une des questions ci-contre, en fonction du calendrier national de vaccination systématique.</t>
    </r>
  </si>
  <si>
    <t>Si la MCV1 est recommendée dans le calendrier systématique avant 12 mois (9-11 mois, par exemple), combien de doses de MCV1 ont été administrées à 12-23 mois en 2016 ?</t>
  </si>
  <si>
    <t>Si la MCV1 est recommendée dans le calendrier systématique à 12 mois ou plus, combien de doses de MCV1 différées ou tardives ont été administrées en 2016 (nombre total) ?</t>
  </si>
  <si>
    <t>A.
1ère Dose</t>
  </si>
  <si>
    <t>B.
2ème Dose</t>
  </si>
  <si>
    <t>C.
3ème Dose*</t>
  </si>
  <si>
    <t>Vaccin anti-papillomavirus humain (VPH) - doses administrées: 2016</t>
  </si>
  <si>
    <t>Indiquer le nombre de vaccinations au VPH données aux filles selon leur âge au moment de l'administration de chacune desdoses recommendées pour la vaccination au VPH. Si l'âge est inconnu mais peut être estimé, indiquer l'âge estimé. Par exemple si la vaccination est offerte uniquement aux filles lors de leur 6ème année scolaire et étant donnée que la plupart des filles en 6ème année scolaire ont onze ans, les vaccinations par dose peuvent être indiquées comme étant administrées aux filles de onze ans.</t>
  </si>
  <si>
    <t>Il faut bien comprendre que les chiffres de la section 4A concernant la couverture vaccinale peuvent être biaisés ou inexacts. La section 5 permet donc aux autorités nationales de fournir les estimations les plus probables sur le véritable taux de couverture. Ces estimations officielles peuvent être basées sur la méthode administrative ou encore provenir d'enquêtes ou d'autres sources. Cette opération est extrêmement importante pour interpréter les données. 
En tenant compte des données fournies dans les tableaux précédents ainsi que d'autres informations disponibles concernant les facteurs influant sur les chiffres de la couverture vaccinale (par ex. : contribution du secteur privé ou des ONG à la vaccination, données démographiques difficiles à obtenir et notification incomplète), indiquer la couverture vaccinale nationale officiellement estimée. Si le calendrier prévoit l'administration d'une dose entre 1 an et 2 ans, donner l'estimation de la couverture à 23 mois, sinon indiquer l'estimation pour les nourrissons.
Ces estimations seront reprises, à titre officiel, dans des rapports mondiaux et régionaux.</t>
  </si>
  <si>
    <t>Groupe consultatif technique national sur la vaccination (GTCV)</t>
  </si>
  <si>
    <r>
      <t xml:space="preserve">Votre pays disposait-il d'un  groupe consultatif technique national sur la vaccination en 2016? 
Ne </t>
    </r>
    <r>
      <rPr>
        <b/>
        <sz val="8"/>
        <rFont val="Verdana"/>
        <family val="2"/>
      </rPr>
      <t>pas</t>
    </r>
    <r>
      <rPr>
        <sz val="8"/>
        <rFont val="Verdana"/>
        <family val="2"/>
      </rPr>
      <t xml:space="preserve"> rapporter l'exitence des Comités de coordination inter-agence (CCIA)). 
    </t>
    </r>
    <r>
      <rPr>
        <b/>
        <sz val="8"/>
        <rFont val="Verdana"/>
        <family val="2"/>
      </rPr>
      <t>Si Oui</t>
    </r>
    <r>
      <rPr>
        <sz val="8"/>
        <rFont val="Verdana"/>
        <family val="2"/>
      </rPr>
      <t xml:space="preserve">, continuer à remplire les questions 6070-6210; Sinon, allez à la question 6220. </t>
    </r>
  </si>
  <si>
    <t xml:space="preserve">Le pays a-t-il réalisé une évaluation du groupe technique consultatif national pour la vaccination (GTCV) existant en 2016 ? </t>
  </si>
  <si>
    <t>E:
Si oui, est-ce que les services de la vaccination ont été interrompus à cause d'un manque dans l'un des vaccins listés ci-dessous</t>
  </si>
  <si>
    <t>Y a-t-il eu, au niveau national, une rupture de stock pour les documents de santé de l’enfant conservés à domicile (absence de documents pendant un certain laps de temps) au cours de l’année 2016 ?</t>
  </si>
  <si>
    <r>
      <t xml:space="preserve">Si oui, </t>
    </r>
    <r>
      <rPr>
        <sz val="8"/>
        <rFont val="Verdana"/>
        <family val="2"/>
      </rPr>
      <t xml:space="preserve">combien d’événements indésirables au total, y compris les événements suspects et confirmés, ont été signalés au niveau national en 2016 ? (Inclure TOUS les cas enregistrés par toutes les sources, c’est-à-dire les cas pour lesquels il existe au moins un formulaire de rapport et/ou ceux recensés en ligne dans le cadre de la vaccination systématique, des campagnes vaccinales, des semaines de la vaccination, des programmes de santé en milieu scolaire, etc.). </t>
    </r>
  </si>
  <si>
    <t>Existe-t-il une ligne budgétaire dans le budget national public réservée spécifiquement à l'achat de vaccins pour la vaccination de routine</t>
  </si>
  <si>
    <t>Quel montant a été dépensé avec des fonds propres du gouvernement pour les vaccins utilisés dans la vaccination de routine ? 
(Merci de rester consistent et d'utiliser toujours la même unité en précisant si le montant est indiqué en devise locale ou en US $.)</t>
  </si>
  <si>
    <t>Quelles sont les dépenses totales (de toutes les sources) consenties aux vaccins utilisés dans la vaccination de routine ? 
(Merci de rester consistent et d'utiliser toujours la même unité en précisant si le montant est indiqué en devise locale ou en US $.)</t>
  </si>
  <si>
    <r>
      <t xml:space="preserve">Quel montant a été dépensé avec des fonds propres du gouvernement pour la vaccination de routine ? 
(Merci de rester consistent et d'utiliser toujours la même unité ean précisant si le montant est indiqué en devise locale ou en US $.)
</t>
    </r>
    <r>
      <rPr>
        <u val="single"/>
        <sz val="8"/>
        <rFont val="Verdana"/>
        <family val="2"/>
      </rPr>
      <t>NB : Cet indicateur sert à suivre les progrès accomplis par les pays en faveur des engagements du Plan d’action mondial pour les vaccins (GVAP) et sont communiqués chaque année à l’Assemblée mondiale de la Santé</t>
    </r>
  </si>
  <si>
    <t>Quelles sont les dépenses totales (de toutes les sources) consenties à la vaccination de routine ?
(Merci de rester consistent etd d'utiliser toujours la même unité en précisant si le montant est indiqué en devise locale ou en US $.)</t>
  </si>
  <si>
    <t>Le pays a-t-il une politique nationale officielle (gouvernementale) en matière de vaccination contre la grippe saisonnière ? (si une organisation non-gouvernementale ou une association médicale recommande la vaccination contre la grippe saisonnière, répondre "non")</t>
  </si>
  <si>
    <t>Si oui, veuillez préciser le type et l’année et indiquer le/les titre(s) de l’évaluation ainsi que la/les référence(s) à une publication/un rapport</t>
  </si>
  <si>
    <t>Ceci peut inclure un Plan d'action (POA) officiel, plan pluriannuel, plan pluriannuel complet, etc. 
Un plan pluriannuel complet comprend:
     - Coût/budget 
     - Plan pour la vaccination de routine
     - Plan d'action pour le contrôle acceléré des maladies
     - Plans pour l'introduction des nouveaux vaccins
     - Gestion logistique et du vaccin
     - Gestion de la chaine de froid
     - Mobilisation sociale et communication</t>
  </si>
  <si>
    <t>Le groupe consultatif technique national sur la vaccination (GCTV) est un comité indépendant d'experts reconnus qui dispense des conseils et recommandations techniques sur les politiques et programmes nationaux de vaccination aux pouvoirs publics. Le groupe consultatif est un outil qui permet à ces derniers d'élaborer des politiques sur la vaccination fondées sur des bases factuelles grâce à un processus transparent et systématique. Les groupes consultatifs ne sont pas des groupes réglementaires, de mise en œuvre ou de coordination (tels que les comités de coordination interagences ou les autorités nationales de réglementation), et leur fonction essentielle doit se polariser sur l'apport de recommandations techniques. En tant que tel, les comités de coordination inter agence (CCIA) ne peuvent PAS être considéré comme des (GCTV). Veuillez noter que les pays disposant d'un comité ad hoc doivent choisir la réponse « Non », car la question porte sur l'existence d'un comité permanent.</t>
  </si>
  <si>
    <t>Veuillez indiquer si, en 2016, une rupture de stock s’est produite au niveau national concernant les documents de vaccination de l’enfant conservés à domicile.
S’il n’existe aucune donnée disponible sur ce point, mentionnez «non disponible ».
Si le pays n’utilise pas de documents de santé de l’enfant conservés à domicile, indiquez « sans objet ».</t>
  </si>
  <si>
    <t>Cette question n’est pertinente que si la réponse donnée en (A) et en (C) est « oui ». Auquel cas, répondez « oui », « non » ou « non disponible » à la colonne (D). Si la réponse donnée en (A) et en (C) n’est pas « oui », indiquez alors « sans objet » à la colonne (D).</t>
  </si>
  <si>
    <t>Cette question n’est pertinente que si la réponse donnée en (C) est « oui ». Auquel cas, répondez « oui », « non » ou « non disponible » à la colonne (E). Si la réponse donnée en (C) est « non », indiquez alors « sans objet » à la colonne (E).</t>
  </si>
  <si>
    <t>Répondez « oui » si 100 % des points d’entreposage des vaccins dans le district ont recours à un système électronique et informatisé pour gérer les stocks de vaccins.
Sinon, répondez :
• « Non », ce qui suppose que les points d’entreposage de vaccins dans le district utilisent un système et des registres sur support papier pour gérer les stocks de vaccins.
• « ND », ce qui suppose que la réponse à la question n’est pas connue (non disponible).</t>
  </si>
  <si>
    <t>Répondez « oui » si le programme national de vaccination dispose de personnel spécialisé qui est chargé de gérer la chaîne d’approvisionnement des vaccins. On entend par responsable de la chaîne d’approvisionnement des vaccins un collaborateur du ministère de la santé attaché au département national de vaccination qui :
• Se consacre à 100 % à la gestion de toute la chaîne d’approvisionnement des vaccins depuis leur arrivée au niveau national jusqu’au point de service.
• A été formé à la gestion de la chaîne d’approvisionnement et des vaccins.
• Dispose des prérogatives et des ressources nécessaires à la gestion de la chaîne d’approvisionnement.
Sinon, répondez :
• « Non », ce qui suppose que le programme national de vaccination ne dispose pas de responsables spécifiques pour la chaîne d’approvisionnement des vaccins, mais peut avoir un responsable de la chaîne du froid ou de l’entreposage des vaccins au sein de l’entrepôt national.
• « non disponible », ce qui suppose que la réponse à la question n’est pas connue</t>
  </si>
  <si>
    <r>
      <rPr>
        <u val="single"/>
        <sz val="8"/>
        <rFont val="Verdana"/>
        <family val="2"/>
      </rPr>
      <t>À inclure</t>
    </r>
    <r>
      <rPr>
        <sz val="8"/>
        <rFont val="Verdana"/>
        <family val="2"/>
      </rPr>
      <t xml:space="preserve"> : ce chiffre devrait inclure les dépenses relatives à la vaccination systématique et au matériel d’injection connexe, toutes sources de financement confondues (y compris les dépenses publiques de vaccins comme à l’indicateur 6610). Sont exclus les vaccins réservés aux activités de vaccination supplémentaires. On entend par toutes sources de financement les pouvoirs publics, les donateurs et partenaires nationaux et internationaux, la sécurité sociale, les paiements directs ainsi que les paiements privés officiels et officieux. 
</t>
    </r>
    <r>
      <rPr>
        <u val="single"/>
        <sz val="8"/>
        <rFont val="Verdana"/>
        <family val="2"/>
      </rPr>
      <t>Source(s) d’information</t>
    </r>
    <r>
      <rPr>
        <sz val="8"/>
        <rFont val="Verdana"/>
        <family val="2"/>
      </rPr>
      <t xml:space="preserve"> : les sources publiques comprennent le ministère de la santé, les entités chargées des achats, les caisses de sécurité sociale et les dépenses du programme national de vaccination et/ou les rapports sur l’exécution du budget. L’information sur les dépenses des donateurs consacrées à la vaccination systématique peuvent être obtenues à partir des registres d’achat consignés au secrétariat de l’Alliance GAVI, auprès d’un bureau de pays de l’UNICEF ou de la division chargée de l’approvisionnement, d’un bureau régional ou de pays de l’OPS, d’un bureau de donateurs bilatéraux, d’un bureau de donateurs multilatéraux (Banque mondial, banques de développement régional), des bureaux d’organismes non gouvernementaux et d’organisations de la société civile. La valeur des dons en vaccins systématiques et les dépenses consenties par les fondations, organismes privés et autres devraient aussi être incluses.
</t>
    </r>
  </si>
  <si>
    <r>
      <rPr>
        <u val="single"/>
        <sz val="8"/>
        <rFont val="Verdana"/>
        <family val="2"/>
      </rPr>
      <t>À inclure</t>
    </r>
    <r>
      <rPr>
        <sz val="8"/>
        <rFont val="Verdana"/>
        <family val="2"/>
      </rPr>
      <t xml:space="preserve"> : ce chiffre devrait inclure les dépenses récurrentes spécifiques à la vaccination systématique toutes sources de financement confondues, y compris les résultats de l’indicateur 6640. Les dépenses relatives aux vaccins systématiques (classiques, nouveaux ou sous utilisés) et le matériel d’injection connexe, les salaires et les indemnités journalières des personnels de santé employés à plein temps pour la vaccination, le transport spécifique à la vaccination, les véhicules et le maintien de la chaîne du froid, la formation spécifique à la vaccination, la mobilisation sociale, le suivi et la surveillance ainsi que la gestion programmatique devraient être incorporés. Les coûts partagés des systèmes de santé NE devraient PAS figurer dans cet indicateur.
</t>
    </r>
    <r>
      <rPr>
        <u val="single"/>
        <sz val="8"/>
        <rFont val="Verdana"/>
        <family val="2"/>
      </rPr>
      <t>Source(s) d’information</t>
    </r>
    <r>
      <rPr>
        <sz val="8"/>
        <rFont val="Verdana"/>
        <family val="2"/>
      </rPr>
      <t xml:space="preserve"> : ce chiffre devrait essentiellement provenir de documents indiquant les dépenses effectives spécifiques aux vaccinations tels que les rapports sur l’exécution du budget établis par le ministère de la santé et par le programme national de vaccination. Parmi les autres sources figurent la sécurité sociale, les partenaires privés nationaux, ainsi que les organismes et organisations partenaires de niveau international. Les dépenses publiques peuvent être corroborées par des documents émanant d’autres sources, à savoir : Système des comptes de la santé, études ponctuelles sur les dépenses de vaccination systématique, estimations initiales d’un plan pluriannuel global ou rapports sur l’exécution, et d’organismes donateurs – bureau de pays de l’UNICEF ou sa division chargée de l’approvisionnement ou encore bureaux régionaux ou de pays de l’OPS.</t>
    </r>
  </si>
  <si>
    <t>A. Cas suspects</t>
  </si>
  <si>
    <t>Inclut tous les cas qui répondent à la définition d'un cas supect pour la maladie</t>
  </si>
  <si>
    <t xml:space="preserve">B.
Nombre de cas suspects testés
</t>
  </si>
  <si>
    <t>C.
Nombre de cas positifs</t>
  </si>
  <si>
    <t>D. Cas Confirmés</t>
  </si>
  <si>
    <t>Rota</t>
  </si>
  <si>
    <t>Pneumonia</t>
  </si>
  <si>
    <t>4C.Enquêtes serologique de la couverture vaccinale</t>
  </si>
  <si>
    <t>Quel est le type d'enquête prévu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</si>
</sst>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_ &quot;fr.&quot;\ * #,##0.00_ ;_ &quot;fr.&quot;\ * \-#,##0.00_ ;_ &quot;fr.&quot;\ * &quot;-&quot;??_ ;_ @_ "/>
  </numFmts>
  <fonts count="82">
    <font>
      <sz val="10"/>
      <name val="Arial"/>
      <family val="0"/>
    </font>
    <font>
      <sz val="10"/>
      <name val="Verdana"/>
      <family val="2"/>
    </font>
    <font>
      <sz val="8"/>
      <name val="Arial"/>
      <family val="2"/>
    </font>
    <font>
      <b/>
      <i/>
      <sz val="10"/>
      <color indexed="60"/>
      <name val="Verdana"/>
      <family val="2"/>
    </font>
    <font>
      <sz val="10"/>
      <color indexed="60"/>
      <name val="Verdana"/>
      <family val="2"/>
    </font>
    <font>
      <i/>
      <sz val="10"/>
      <color indexed="60"/>
      <name val="Verdana"/>
      <family val="2"/>
    </font>
    <font>
      <sz val="8"/>
      <name val="Verdana"/>
      <family val="2"/>
    </font>
    <font>
      <b/>
      <sz val="8"/>
      <name val="Verdana"/>
      <family val="2"/>
    </font>
    <font>
      <sz val="8"/>
      <color indexed="9"/>
      <name val="Verdana"/>
      <family val="2"/>
    </font>
    <font>
      <b/>
      <sz val="8"/>
      <color indexed="9"/>
      <name val="Verdana"/>
      <family val="2"/>
    </font>
    <font>
      <sz val="8"/>
      <color indexed="60"/>
      <name val="Verdana"/>
      <family val="2"/>
    </font>
    <font>
      <i/>
      <sz val="8"/>
      <color indexed="60"/>
      <name val="Verdana"/>
      <family val="2"/>
    </font>
    <font>
      <i/>
      <sz val="8"/>
      <name val="Verdana"/>
      <family val="2"/>
    </font>
    <font>
      <b/>
      <i/>
      <sz val="8"/>
      <name val="Verdana"/>
      <family val="2"/>
    </font>
    <font>
      <u val="single"/>
      <sz val="10"/>
      <color indexed="12"/>
      <name val="Arial"/>
      <family val="2"/>
    </font>
    <font>
      <b/>
      <sz val="8"/>
      <color indexed="60"/>
      <name val="Verdana"/>
      <family val="2"/>
    </font>
    <font>
      <b/>
      <sz val="14"/>
      <color indexed="43"/>
      <name val="Sylfaen"/>
      <family val="1"/>
    </font>
    <font>
      <b/>
      <sz val="14"/>
      <color indexed="9"/>
      <name val="Sylfaen"/>
      <family val="1"/>
    </font>
    <font>
      <u val="single"/>
      <sz val="10"/>
      <color indexed="36"/>
      <name val="Arial"/>
      <family val="2"/>
    </font>
    <font>
      <u val="single"/>
      <sz val="8"/>
      <color indexed="12"/>
      <name val="Verdana"/>
      <family val="2"/>
    </font>
    <font>
      <i/>
      <u val="single"/>
      <sz val="10"/>
      <color indexed="12"/>
      <name val="Verdana"/>
      <family val="2"/>
    </font>
    <font>
      <b/>
      <sz val="10"/>
      <name val="Verdana"/>
      <family val="2"/>
    </font>
    <font>
      <b/>
      <sz val="10"/>
      <name val="Arial"/>
      <family val="2"/>
    </font>
    <font>
      <sz val="8"/>
      <color indexed="12"/>
      <name val="Verdana"/>
      <family val="2"/>
    </font>
    <font>
      <sz val="11"/>
      <name val="Times New Roman"/>
      <family val="1"/>
    </font>
    <font>
      <b/>
      <sz val="8"/>
      <name val="Arial"/>
      <family val="2"/>
    </font>
    <font>
      <i/>
      <sz val="8"/>
      <color indexed="16"/>
      <name val="Verdana"/>
      <family val="2"/>
    </font>
    <font>
      <sz val="8"/>
      <color indexed="63"/>
      <name val="Verdana"/>
      <family val="2"/>
    </font>
    <font>
      <b/>
      <sz val="12"/>
      <name val="Verdana"/>
      <family val="2"/>
    </font>
    <font>
      <i/>
      <sz val="9"/>
      <color indexed="60"/>
      <name val="Verdana"/>
      <family val="2"/>
    </font>
    <font>
      <b/>
      <vertAlign val="superscript"/>
      <sz val="8"/>
      <name val="Verdana"/>
      <family val="2"/>
    </font>
    <font>
      <vertAlign val="superscript"/>
      <sz val="8"/>
      <name val="Verdana"/>
      <family val="2"/>
    </font>
    <font>
      <i/>
      <sz val="10"/>
      <color indexed="57"/>
      <name val="Verdana"/>
      <family val="2"/>
    </font>
    <font>
      <b/>
      <sz val="8"/>
      <color indexed="10"/>
      <name val="Verdana"/>
      <family val="2"/>
    </font>
    <font>
      <i/>
      <sz val="10"/>
      <color indexed="12"/>
      <name val="Verdana"/>
      <family val="2"/>
    </font>
    <font>
      <b/>
      <u val="single"/>
      <sz val="10"/>
      <name val="Verdana"/>
      <family val="2"/>
    </font>
    <font>
      <u val="single"/>
      <sz val="10"/>
      <name val="Verdana"/>
      <family val="2"/>
    </font>
    <font>
      <sz val="8"/>
      <color indexed="4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43"/>
      <name val="Verdana"/>
      <family val="2"/>
    </font>
    <font>
      <u val="single"/>
      <sz val="8"/>
      <color indexed="60"/>
      <name val="Verdana"/>
      <family val="2"/>
    </font>
    <font>
      <b/>
      <sz val="11"/>
      <name val="Verdana"/>
      <family val="2"/>
    </font>
    <font>
      <sz val="10"/>
      <color indexed="12"/>
      <name val="Arial"/>
      <family val="2"/>
    </font>
    <font>
      <b/>
      <u val="single"/>
      <sz val="8"/>
      <name val="Verdana"/>
      <family val="2"/>
    </font>
    <font>
      <sz val="1"/>
      <name val="Verdana"/>
      <family val="2"/>
    </font>
    <font>
      <sz val="10"/>
      <color indexed="9"/>
      <name val="Arial"/>
      <family val="2"/>
    </font>
    <font>
      <u val="single"/>
      <sz val="8"/>
      <name val="Verdana"/>
      <family val="2"/>
    </font>
    <font>
      <b/>
      <sz val="10"/>
      <color indexed="60"/>
      <name val="Verdana"/>
      <family val="2"/>
    </font>
    <font>
      <sz val="10"/>
      <color indexed="10"/>
      <name val="Verdana"/>
      <family val="2"/>
    </font>
    <font>
      <sz val="10"/>
      <color indexed="8"/>
      <name val="Arial"/>
      <family val="2"/>
    </font>
    <font>
      <sz val="7"/>
      <color indexed="8"/>
      <name val="Times New Roman"/>
      <family val="1"/>
    </font>
    <font>
      <sz val="11"/>
      <name val="Calibri"/>
      <family val="2"/>
    </font>
    <font>
      <b/>
      <sz val="11"/>
      <color indexed="8"/>
      <name val="Arial"/>
      <family val="2"/>
    </font>
    <font>
      <sz val="10"/>
      <color indexed="8"/>
      <name val="Symbol"/>
      <family val="1"/>
    </font>
    <font>
      <sz val="8"/>
      <color indexed="23"/>
      <name val="Verdana"/>
      <family val="2"/>
    </font>
    <font>
      <sz val="8"/>
      <name val="Tahoma"/>
      <family val="2"/>
    </font>
    <font>
      <sz val="11"/>
      <color theme="1"/>
      <name val="Calibri"/>
      <family val="2"/>
    </font>
    <font>
      <sz val="8"/>
      <color theme="0"/>
      <name val="Verdana"/>
      <family val="2"/>
    </font>
    <font>
      <sz val="10"/>
      <color rgb="FF993300"/>
      <name val="Verdana"/>
      <family val="2"/>
    </font>
    <font>
      <b/>
      <sz val="8"/>
      <color theme="0"/>
      <name val="Verdana"/>
      <family val="2"/>
    </font>
    <font>
      <b/>
      <sz val="11"/>
      <color rgb="FF141414"/>
      <name val="Arial"/>
      <family val="2"/>
    </font>
    <font>
      <sz val="10"/>
      <color rgb="FF141414"/>
      <name val="Symbol"/>
      <family val="1"/>
    </font>
    <font>
      <sz val="10"/>
      <color rgb="FF000000"/>
      <name val="Arial"/>
      <family val="2"/>
    </font>
    <font>
      <sz val="10"/>
      <color rgb="FF141414"/>
      <name val="Arial"/>
      <family val="2"/>
    </font>
    <font>
      <sz val="8"/>
      <color theme="0" tint="-0.4999699890613556"/>
      <name val="Verdana"/>
      <family val="2"/>
    </font>
    <font>
      <b/>
      <sz val="8"/>
      <color rgb="FFFF0000"/>
      <name val="Verdan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lightGray">
        <fgColor indexed="47"/>
      </patternFill>
    </fill>
    <fill>
      <patternFill patternType="mediumGray">
        <fgColor indexed="47"/>
      </patternFill>
    </fill>
    <fill>
      <patternFill patternType="lightUp"/>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61"/>
        <bgColor indexed="64"/>
      </patternFill>
    </fill>
    <fill>
      <patternFill patternType="solid">
        <fgColor rgb="FFCCFFFF"/>
        <bgColor indexed="64"/>
      </patternFill>
    </fill>
    <fill>
      <patternFill patternType="solid">
        <fgColor rgb="FF808000"/>
        <bgColor indexed="64"/>
      </patternFill>
    </fill>
    <fill>
      <patternFill patternType="solid">
        <fgColor rgb="FFFFCC99"/>
        <bgColor indexed="64"/>
      </patternFill>
    </fill>
    <fill>
      <patternFill patternType="solid">
        <fgColor theme="9" tint="0.5999900102615356"/>
        <bgColor indexed="64"/>
      </patternFill>
    </fill>
    <fill>
      <patternFill patternType="solid">
        <fgColor rgb="FFFFFFFF"/>
        <bgColor indexed="64"/>
      </patternFill>
    </fill>
    <fill>
      <patternFill patternType="solid">
        <fgColor rgb="FFC0C0C0"/>
        <bgColor indexed="64"/>
      </patternFill>
    </fill>
    <fill>
      <patternFill patternType="solid">
        <fgColor rgb="FFFF8080"/>
        <bgColor indexed="64"/>
      </patternFill>
    </fill>
    <fill>
      <patternFill patternType="solid">
        <fgColor rgb="FFCCFFCC"/>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style="medium"/>
      <top style="thin"/>
      <bottom style="medium"/>
    </border>
    <border>
      <left style="thin"/>
      <right style="thin"/>
      <top>
        <color indexed="63"/>
      </top>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color indexed="63"/>
      </top>
      <bottom>
        <color indexed="63"/>
      </bottom>
    </border>
    <border>
      <left style="medium"/>
      <right style="dashed"/>
      <top style="medium"/>
      <bottom style="medium"/>
    </border>
    <border>
      <left style="dashed"/>
      <right style="dashed"/>
      <top style="medium"/>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
      <left style="thin"/>
      <right>
        <color indexed="63"/>
      </right>
      <top style="thin"/>
      <bottom>
        <color indexed="63"/>
      </bottom>
    </border>
    <border>
      <left>
        <color indexed="63"/>
      </left>
      <right style="thin"/>
      <top style="medium"/>
      <bottom>
        <color indexed="63"/>
      </bottom>
    </border>
    <border>
      <left style="thin"/>
      <right style="thin"/>
      <top>
        <color indexed="63"/>
      </top>
      <bottom>
        <color indexed="63"/>
      </bottom>
    </border>
    <border>
      <left>
        <color indexed="63"/>
      </left>
      <right>
        <color indexed="63"/>
      </right>
      <top style="thin"/>
      <bottom style="thin"/>
    </border>
    <border>
      <left style="thin"/>
      <right style="medium"/>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medium"/>
      <bottom style="medium"/>
    </border>
    <border>
      <left>
        <color indexed="63"/>
      </left>
      <right style="thin"/>
      <top style="thin"/>
      <bottom>
        <color indexed="63"/>
      </bottom>
    </border>
    <border>
      <left>
        <color indexed="63"/>
      </left>
      <right style="medium"/>
      <top style="thin"/>
      <bottom style="thin"/>
    </border>
    <border>
      <left style="dashed"/>
      <right style="medium"/>
      <top style="medium"/>
      <bottom style="medium"/>
    </border>
    <border>
      <left>
        <color indexed="63"/>
      </left>
      <right style="thin"/>
      <top>
        <color indexed="63"/>
      </top>
      <bottom style="medium"/>
    </border>
    <border>
      <left style="medium"/>
      <right style="thin"/>
      <top>
        <color indexed="63"/>
      </top>
      <bottom>
        <color indexed="63"/>
      </bottom>
    </border>
    <border>
      <left>
        <color indexed="63"/>
      </left>
      <right>
        <color indexed="63"/>
      </right>
      <top style="thin"/>
      <bottom style="medium"/>
    </border>
    <border>
      <left style="thin"/>
      <right style="thin"/>
      <top>
        <color indexed="63"/>
      </top>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color indexed="63"/>
      </left>
      <right>
        <color indexed="63"/>
      </right>
      <top style="thin">
        <color indexed="60"/>
      </top>
      <bottom>
        <color indexed="63"/>
      </botto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style="medium"/>
      <right style="thin"/>
      <top style="medium"/>
      <bottom>
        <color indexed="63"/>
      </bottom>
    </border>
    <border>
      <left style="dotted"/>
      <right style="thin"/>
      <top style="thin"/>
      <bottom style="dotted"/>
    </border>
    <border>
      <left style="thin"/>
      <right style="thin"/>
      <top style="thin"/>
      <bottom style="dotted"/>
    </border>
    <border>
      <left style="dotted"/>
      <right style="thin"/>
      <top style="dotted"/>
      <bottom style="thin"/>
    </border>
    <border>
      <left style="thin"/>
      <right style="thin"/>
      <top style="dotted"/>
      <bottom style="thin"/>
    </border>
    <border>
      <left style="dotted"/>
      <right style="thin"/>
      <top style="dotted"/>
      <bottom style="dotted"/>
    </border>
    <border>
      <left style="thin"/>
      <right style="thin"/>
      <top style="dotted"/>
      <bottom style="dotted"/>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medium"/>
      <right>
        <color indexed="63"/>
      </right>
      <top style="thin"/>
      <bottom style="medium"/>
    </border>
    <border>
      <left>
        <color indexed="63"/>
      </left>
      <right style="medium"/>
      <top style="thin"/>
      <bottom>
        <color indexed="63"/>
      </bottom>
    </border>
    <border>
      <left style="medium"/>
      <right>
        <color indexed="63"/>
      </right>
      <top>
        <color indexed="63"/>
      </top>
      <bottom style="medium"/>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1" fillId="20" borderId="1" applyNumberFormat="0" applyAlignment="0" applyProtection="0"/>
    <xf numFmtId="0" fontId="42" fillId="21" borderId="2"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4" borderId="0" applyNumberFormat="0" applyBorder="0" applyAlignment="0" applyProtection="0"/>
    <xf numFmtId="0" fontId="44" fillId="4" borderId="0" applyNumberFormat="0" applyBorder="0" applyAlignment="0" applyProtection="0"/>
    <xf numFmtId="0" fontId="45" fillId="0" borderId="3"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48" fillId="7" borderId="1" applyNumberFormat="0" applyAlignment="0" applyProtection="0"/>
    <xf numFmtId="0" fontId="48" fillId="7" borderId="1" applyNumberFormat="0" applyAlignment="0" applyProtection="0"/>
    <xf numFmtId="0" fontId="49" fillId="0" borderId="6" applyNumberFormat="0" applyFill="0" applyAlignment="0" applyProtection="0"/>
    <xf numFmtId="0" fontId="49" fillId="0" borderId="6" applyNumberFormat="0" applyFill="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72"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72"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72" fillId="0" borderId="0">
      <alignment/>
      <protection/>
    </xf>
    <xf numFmtId="0" fontId="72"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974">
    <xf numFmtId="0" fontId="0" fillId="0" borderId="0" xfId="0" applyAlignment="1">
      <alignment/>
    </xf>
    <xf numFmtId="0" fontId="1"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Fill="1" applyAlignment="1">
      <alignment vertical="center"/>
    </xf>
    <xf numFmtId="0" fontId="10"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9" fillId="24" borderId="10" xfId="0" applyFont="1" applyFill="1" applyBorder="1" applyAlignment="1">
      <alignment vertical="center"/>
    </xf>
    <xf numFmtId="0" fontId="9" fillId="24" borderId="11" xfId="0" applyFont="1" applyFill="1" applyBorder="1" applyAlignment="1">
      <alignment vertical="center"/>
    </xf>
    <xf numFmtId="0" fontId="7" fillId="7" borderId="12"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24" borderId="13" xfId="0" applyFont="1" applyFill="1" applyBorder="1" applyAlignment="1" quotePrefix="1">
      <alignment horizontal="center" vertical="center"/>
    </xf>
    <xf numFmtId="0" fontId="8" fillId="24" borderId="14" xfId="0" applyFont="1" applyFill="1" applyBorder="1" applyAlignment="1" quotePrefix="1">
      <alignment horizontal="center" vertical="center"/>
    </xf>
    <xf numFmtId="0" fontId="8" fillId="24" borderId="14" xfId="0" applyFont="1" applyFill="1" applyBorder="1" applyAlignment="1">
      <alignment horizontal="center" vertical="center"/>
    </xf>
    <xf numFmtId="0" fontId="8" fillId="24" borderId="15" xfId="0" applyFont="1" applyFill="1" applyBorder="1" applyAlignment="1">
      <alignment horizontal="center" vertical="center"/>
    </xf>
    <xf numFmtId="0" fontId="6" fillId="24" borderId="16" xfId="0" applyFont="1" applyFill="1" applyBorder="1" applyAlignment="1">
      <alignment horizontal="center" vertical="center" wrapText="1"/>
    </xf>
    <xf numFmtId="0" fontId="7" fillId="24" borderId="17" xfId="0" applyFont="1" applyFill="1" applyBorder="1" applyAlignment="1">
      <alignment vertical="center" wrapText="1"/>
    </xf>
    <xf numFmtId="0" fontId="7" fillId="24" borderId="18" xfId="0" applyFont="1" applyFill="1" applyBorder="1" applyAlignment="1">
      <alignment vertical="center" wrapText="1"/>
    </xf>
    <xf numFmtId="0" fontId="7" fillId="7" borderId="12" xfId="0" applyFont="1" applyFill="1" applyBorder="1" applyAlignment="1">
      <alignment horizontal="center" vertical="top" wrapText="1"/>
    </xf>
    <xf numFmtId="0" fontId="7" fillId="7" borderId="19" xfId="0" applyFont="1" applyFill="1" applyBorder="1" applyAlignment="1">
      <alignment horizontal="center" vertical="center"/>
    </xf>
    <xf numFmtId="0" fontId="7" fillId="7" borderId="20" xfId="0" applyFont="1" applyFill="1" applyBorder="1" applyAlignment="1">
      <alignment horizontal="center" vertical="center" wrapText="1"/>
    </xf>
    <xf numFmtId="0" fontId="6" fillId="0" borderId="0" xfId="0" applyFont="1" applyAlignment="1">
      <alignment/>
    </xf>
    <xf numFmtId="0" fontId="6" fillId="24" borderId="13" xfId="0" applyFont="1" applyFill="1" applyBorder="1" applyAlignment="1">
      <alignment horizontal="center" vertical="center"/>
    </xf>
    <xf numFmtId="0" fontId="7" fillId="0" borderId="0" xfId="0" applyFont="1" applyAlignment="1">
      <alignment horizontal="center" vertical="center"/>
    </xf>
    <xf numFmtId="49" fontId="7" fillId="25" borderId="12" xfId="0" applyNumberFormat="1" applyFont="1" applyFill="1" applyBorder="1" applyAlignment="1">
      <alignment horizontal="center" vertical="center"/>
    </xf>
    <xf numFmtId="0" fontId="7" fillId="7" borderId="21" xfId="0" applyFont="1" applyFill="1" applyBorder="1" applyAlignment="1">
      <alignment horizontal="center" vertical="top" wrapText="1"/>
    </xf>
    <xf numFmtId="0" fontId="5" fillId="0" borderId="0" xfId="0" applyFont="1" applyAlignment="1">
      <alignment horizontal="center" vertical="center"/>
    </xf>
    <xf numFmtId="0" fontId="19" fillId="7" borderId="22" xfId="91" applyFont="1" applyFill="1" applyBorder="1" applyAlignment="1" applyProtection="1">
      <alignment horizontal="center" vertical="top" wrapText="1"/>
      <protection locked="0"/>
    </xf>
    <xf numFmtId="49" fontId="6" fillId="0" borderId="12" xfId="0" applyNumberFormat="1" applyFont="1" applyBorder="1" applyAlignment="1">
      <alignment horizontal="center" vertical="center" wrapText="1"/>
    </xf>
    <xf numFmtId="49" fontId="6" fillId="0" borderId="12"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vertical="center" wrapText="1"/>
      <protection locked="0"/>
    </xf>
    <xf numFmtId="49" fontId="6" fillId="0" borderId="0" xfId="0" applyNumberFormat="1" applyFont="1" applyAlignment="1">
      <alignment vertical="center" wrapText="1"/>
    </xf>
    <xf numFmtId="49" fontId="6" fillId="0" borderId="0" xfId="0" applyNumberFormat="1" applyFont="1" applyBorder="1" applyAlignment="1">
      <alignment horizontal="center" vertical="center" wrapText="1"/>
    </xf>
    <xf numFmtId="0" fontId="7" fillId="7" borderId="24" xfId="0" applyFont="1" applyFill="1" applyBorder="1" applyAlignment="1">
      <alignment horizontal="center" vertical="top" wrapText="1"/>
    </xf>
    <xf numFmtId="0" fontId="5" fillId="0" borderId="0" xfId="0" applyFont="1" applyAlignment="1">
      <alignment vertical="center" wrapText="1"/>
    </xf>
    <xf numFmtId="0" fontId="7" fillId="7" borderId="25" xfId="0" applyFont="1" applyFill="1" applyBorder="1" applyAlignment="1">
      <alignment horizontal="center" wrapText="1"/>
    </xf>
    <xf numFmtId="0" fontId="7" fillId="7" borderId="25" xfId="0" applyFont="1" applyFill="1" applyBorder="1" applyAlignment="1">
      <alignment horizontal="center" vertical="top" wrapText="1"/>
    </xf>
    <xf numFmtId="0" fontId="6" fillId="0" borderId="0" xfId="91" applyFont="1" applyAlignment="1" applyProtection="1">
      <alignment vertical="center"/>
      <protection/>
    </xf>
    <xf numFmtId="0" fontId="7" fillId="26" borderId="26" xfId="0" applyFont="1" applyFill="1" applyBorder="1" applyAlignment="1">
      <alignment horizontal="center" vertical="top" wrapText="1"/>
    </xf>
    <xf numFmtId="0" fontId="6" fillId="0" borderId="20"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22" fillId="0" borderId="0" xfId="0" applyFont="1" applyAlignment="1">
      <alignment/>
    </xf>
    <xf numFmtId="0" fontId="19" fillId="0" borderId="0" xfId="0" applyFont="1" applyBorder="1" applyAlignment="1">
      <alignment vertical="center"/>
    </xf>
    <xf numFmtId="0" fontId="6" fillId="0" borderId="0" xfId="0" applyFont="1" applyBorder="1" applyAlignment="1">
      <alignment/>
    </xf>
    <xf numFmtId="0" fontId="19" fillId="7" borderId="28" xfId="91" applyFont="1" applyFill="1" applyBorder="1" applyAlignment="1" applyProtection="1">
      <alignment horizontal="center" vertical="top" wrapText="1"/>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vertical="center" wrapText="1"/>
      <protection locked="0"/>
    </xf>
    <xf numFmtId="0" fontId="6" fillId="0" borderId="21" xfId="0" applyFont="1" applyBorder="1" applyAlignment="1" applyProtection="1">
      <alignment horizontal="center" vertical="center"/>
      <protection locked="0"/>
    </xf>
    <xf numFmtId="0" fontId="15" fillId="0" borderId="0" xfId="0" applyFont="1" applyAlignment="1" applyProtection="1">
      <alignment vertical="center"/>
      <protection/>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19" fillId="0" borderId="0" xfId="91" applyFont="1" applyBorder="1" applyAlignment="1" applyProtection="1">
      <alignment vertical="center"/>
      <protection/>
    </xf>
    <xf numFmtId="0" fontId="6" fillId="27" borderId="12" xfId="0" applyFont="1" applyFill="1" applyBorder="1" applyAlignment="1" applyProtection="1">
      <alignment horizontal="center" vertical="center"/>
      <protection/>
    </xf>
    <xf numFmtId="49" fontId="6" fillId="0" borderId="12" xfId="0" applyNumberFormat="1" applyFont="1" applyBorder="1" applyAlignment="1" applyProtection="1">
      <alignment horizontal="center" vertical="center" wrapText="1"/>
      <protection locked="0"/>
    </xf>
    <xf numFmtId="0" fontId="6" fillId="0" borderId="23" xfId="0" applyFont="1" applyBorder="1" applyAlignment="1" applyProtection="1">
      <alignment vertical="center" wrapText="1"/>
      <protection locked="0"/>
    </xf>
    <xf numFmtId="0" fontId="6" fillId="0" borderId="12" xfId="0" applyFont="1" applyFill="1" applyBorder="1" applyAlignment="1" applyProtection="1">
      <alignment horizontal="center" vertical="center"/>
      <protection locked="0"/>
    </xf>
    <xf numFmtId="0" fontId="6" fillId="0" borderId="21" xfId="0" applyFont="1" applyFill="1" applyBorder="1" applyAlignment="1" applyProtection="1">
      <alignment vertical="top" wrapText="1"/>
      <protection locked="0"/>
    </xf>
    <xf numFmtId="0" fontId="7" fillId="0" borderId="12" xfId="0" applyFont="1" applyFill="1" applyBorder="1" applyAlignment="1">
      <alignment vertical="center"/>
    </xf>
    <xf numFmtId="0" fontId="24" fillId="0" borderId="0" xfId="0" applyFont="1" applyBorder="1" applyAlignment="1">
      <alignment vertical="top" wrapText="1"/>
    </xf>
    <xf numFmtId="0" fontId="5" fillId="0" borderId="0" xfId="0" applyFont="1" applyBorder="1" applyAlignment="1">
      <alignment horizontal="center" vertical="center" wrapText="1"/>
    </xf>
    <xf numFmtId="0" fontId="7" fillId="24" borderId="13" xfId="0" applyFont="1" applyFill="1" applyBorder="1" applyAlignment="1">
      <alignment horizontal="center" vertical="center"/>
    </xf>
    <xf numFmtId="0" fontId="6" fillId="0" borderId="12" xfId="0" applyFont="1" applyFill="1" applyBorder="1" applyAlignment="1">
      <alignment vertical="center" wrapText="1"/>
    </xf>
    <xf numFmtId="0" fontId="6" fillId="0" borderId="23" xfId="0" applyFont="1" applyFill="1" applyBorder="1" applyAlignment="1">
      <alignment vertical="center" wrapText="1"/>
    </xf>
    <xf numFmtId="9" fontId="6" fillId="0" borderId="0" xfId="135" applyFont="1" applyAlignment="1">
      <alignment vertical="center"/>
    </xf>
    <xf numFmtId="0" fontId="7" fillId="0" borderId="29" xfId="0" applyFont="1" applyFill="1" applyBorder="1" applyAlignment="1">
      <alignment vertical="center" wrapText="1"/>
    </xf>
    <xf numFmtId="0" fontId="6" fillId="0" borderId="12" xfId="0" applyFont="1" applyFill="1" applyBorder="1" applyAlignment="1" applyProtection="1">
      <alignment vertical="center" wrapText="1"/>
      <protection locked="0"/>
    </xf>
    <xf numFmtId="0" fontId="6" fillId="0" borderId="23" xfId="0" applyFont="1" applyFill="1" applyBorder="1" applyAlignment="1" applyProtection="1">
      <alignment vertical="center" wrapText="1"/>
      <protection locked="0"/>
    </xf>
    <xf numFmtId="0" fontId="19" fillId="0" borderId="30" xfId="91" applyFont="1" applyFill="1" applyBorder="1" applyAlignment="1" applyProtection="1">
      <alignment vertical="center" wrapText="1"/>
      <protection locked="0"/>
    </xf>
    <xf numFmtId="0" fontId="7" fillId="0" borderId="31" xfId="0" applyFont="1" applyFill="1" applyBorder="1" applyAlignment="1">
      <alignment vertical="center"/>
    </xf>
    <xf numFmtId="0" fontId="7" fillId="0" borderId="31" xfId="0" applyFont="1" applyFill="1" applyBorder="1" applyAlignment="1">
      <alignment vertical="center" wrapText="1"/>
    </xf>
    <xf numFmtId="49" fontId="6" fillId="0" borderId="28" xfId="0" applyNumberFormat="1" applyFont="1" applyBorder="1" applyAlignment="1" applyProtection="1">
      <alignment horizontal="center" vertical="center"/>
      <protection locked="0"/>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12" xfId="0" applyFont="1" applyFill="1" applyBorder="1" applyAlignment="1">
      <alignment vertical="center" wrapText="1"/>
    </xf>
    <xf numFmtId="0" fontId="13" fillId="0" borderId="0" xfId="0" applyFont="1" applyAlignment="1">
      <alignment vertical="center"/>
    </xf>
    <xf numFmtId="0" fontId="7" fillId="0" borderId="23" xfId="0" applyFont="1" applyFill="1" applyBorder="1" applyAlignment="1">
      <alignment vertical="center"/>
    </xf>
    <xf numFmtId="0" fontId="6" fillId="0" borderId="17" xfId="0" applyFont="1" applyBorder="1" applyAlignment="1">
      <alignment vertical="center"/>
    </xf>
    <xf numFmtId="0" fontId="6" fillId="0" borderId="32" xfId="0" applyFont="1" applyBorder="1" applyAlignment="1">
      <alignment vertical="center"/>
    </xf>
    <xf numFmtId="49" fontId="7" fillId="25" borderId="12" xfId="0" applyNumberFormat="1" applyFont="1" applyFill="1" applyBorder="1" applyAlignment="1">
      <alignment horizontal="center" vertical="center" wrapText="1"/>
    </xf>
    <xf numFmtId="0" fontId="26" fillId="0" borderId="0" xfId="0" applyFont="1" applyFill="1" applyAlignment="1">
      <alignment vertical="center"/>
    </xf>
    <xf numFmtId="0" fontId="8" fillId="24" borderId="33" xfId="0" applyFont="1" applyFill="1" applyBorder="1" applyAlignment="1">
      <alignment horizontal="center" vertical="center"/>
    </xf>
    <xf numFmtId="0" fontId="6" fillId="7" borderId="34" xfId="0" applyFont="1" applyFill="1" applyBorder="1" applyAlignment="1">
      <alignment horizontal="center" vertical="center" wrapText="1"/>
    </xf>
    <xf numFmtId="0" fontId="19" fillId="0" borderId="30" xfId="91" applyFont="1" applyFill="1" applyBorder="1" applyAlignment="1" applyProtection="1">
      <alignment horizontal="left" vertical="center" wrapText="1" indent="1"/>
      <protection locked="0"/>
    </xf>
    <xf numFmtId="0" fontId="7" fillId="7" borderId="24" xfId="0" applyFont="1" applyFill="1" applyBorder="1" applyAlignment="1">
      <alignment horizontal="right" vertical="top" wrapText="1" indent="1"/>
    </xf>
    <xf numFmtId="0" fontId="6" fillId="0" borderId="34" xfId="0" applyFont="1" applyBorder="1" applyAlignment="1" applyProtection="1">
      <alignment horizontal="center" vertical="center"/>
      <protection locked="0"/>
    </xf>
    <xf numFmtId="0" fontId="12" fillId="7" borderId="35" xfId="0" applyFont="1" applyFill="1" applyBorder="1" applyAlignment="1">
      <alignment horizontal="center" vertical="center" wrapText="1"/>
    </xf>
    <xf numFmtId="0" fontId="7" fillId="7" borderId="36" xfId="0" applyFont="1" applyFill="1" applyBorder="1" applyAlignment="1">
      <alignment horizontal="center" vertical="top" wrapText="1"/>
    </xf>
    <xf numFmtId="0" fontId="8" fillId="24" borderId="37" xfId="0" applyFont="1" applyFill="1" applyBorder="1" applyAlignment="1">
      <alignment horizontal="center" vertical="center"/>
    </xf>
    <xf numFmtId="0" fontId="6" fillId="0" borderId="38" xfId="0" applyFont="1" applyBorder="1" applyAlignment="1">
      <alignment vertical="center"/>
    </xf>
    <xf numFmtId="0" fontId="7" fillId="0" borderId="39" xfId="0" applyFont="1" applyBorder="1" applyAlignment="1">
      <alignment vertical="center"/>
    </xf>
    <xf numFmtId="0" fontId="6" fillId="7" borderId="40" xfId="0" applyFont="1" applyFill="1" applyBorder="1" applyAlignment="1">
      <alignment vertical="center"/>
    </xf>
    <xf numFmtId="0" fontId="6" fillId="0" borderId="0" xfId="0" applyFont="1" applyBorder="1" applyAlignment="1">
      <alignment vertical="center" wrapText="1"/>
    </xf>
    <xf numFmtId="0" fontId="7" fillId="0" borderId="0" xfId="0" applyFont="1" applyBorder="1" applyAlignment="1">
      <alignment horizontal="center" vertical="center" wrapText="1"/>
    </xf>
    <xf numFmtId="49" fontId="6" fillId="0" borderId="31" xfId="0" applyNumberFormat="1" applyFont="1" applyBorder="1" applyAlignment="1">
      <alignment horizontal="center" vertical="center" wrapText="1"/>
    </xf>
    <xf numFmtId="0" fontId="7" fillId="0" borderId="17" xfId="0" applyFont="1" applyBorder="1" applyAlignment="1">
      <alignment horizontal="center" vertical="center" wrapText="1"/>
    </xf>
    <xf numFmtId="49" fontId="6" fillId="0" borderId="17" xfId="0" applyNumberFormat="1" applyFont="1" applyBorder="1" applyAlignment="1">
      <alignment horizontal="center" vertical="center" wrapText="1"/>
    </xf>
    <xf numFmtId="0" fontId="7" fillId="0" borderId="17" xfId="0" applyFont="1" applyBorder="1" applyAlignment="1">
      <alignment vertical="center" wrapText="1"/>
    </xf>
    <xf numFmtId="0" fontId="6" fillId="0" borderId="32" xfId="0" applyFont="1" applyBorder="1" applyAlignment="1">
      <alignment vertical="center" wrapText="1"/>
    </xf>
    <xf numFmtId="0" fontId="6" fillId="7" borderId="41" xfId="0" applyFont="1" applyFill="1" applyBorder="1" applyAlignment="1">
      <alignment vertical="center"/>
    </xf>
    <xf numFmtId="0" fontId="19" fillId="7" borderId="40" xfId="91" applyFont="1" applyFill="1" applyBorder="1" applyAlignment="1" applyProtection="1">
      <alignment vertical="center"/>
      <protection locked="0"/>
    </xf>
    <xf numFmtId="0" fontId="7" fillId="0" borderId="42" xfId="0" applyFont="1" applyFill="1" applyBorder="1" applyAlignment="1">
      <alignment horizontal="center" vertical="center" wrapText="1"/>
    </xf>
    <xf numFmtId="49" fontId="6" fillId="0" borderId="43" xfId="0" applyNumberFormat="1" applyFont="1" applyBorder="1" applyAlignment="1">
      <alignment horizontal="center" vertical="center" wrapText="1"/>
    </xf>
    <xf numFmtId="0" fontId="6" fillId="0" borderId="28" xfId="0" applyFont="1" applyFill="1" applyBorder="1" applyAlignment="1" applyProtection="1">
      <alignment horizontal="center" vertical="center"/>
      <protection locked="0"/>
    </xf>
    <xf numFmtId="0" fontId="6" fillId="0" borderId="31" xfId="0" applyFont="1" applyFill="1" applyBorder="1" applyAlignment="1">
      <alignment vertical="center" wrapText="1"/>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vertical="top" wrapText="1"/>
      <protection locked="0"/>
    </xf>
    <xf numFmtId="0" fontId="7" fillId="7" borderId="44" xfId="0" applyFont="1" applyFill="1" applyBorder="1" applyAlignment="1">
      <alignment horizontal="center" vertical="center" wrapText="1"/>
    </xf>
    <xf numFmtId="0" fontId="6" fillId="0" borderId="31" xfId="0" applyFont="1" applyFill="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7" fillId="7" borderId="45" xfId="0" applyFont="1" applyFill="1" applyBorder="1" applyAlignment="1">
      <alignment horizontal="center" vertical="top" wrapText="1"/>
    </xf>
    <xf numFmtId="1" fontId="6" fillId="0" borderId="21" xfId="135" applyNumberFormat="1" applyFont="1" applyBorder="1" applyAlignment="1" applyProtection="1">
      <alignment horizontal="center" vertical="center"/>
      <protection locked="0"/>
    </xf>
    <xf numFmtId="1" fontId="6" fillId="0" borderId="21" xfId="135" applyNumberFormat="1" applyFont="1" applyFill="1" applyBorder="1" applyAlignment="1" applyProtection="1">
      <alignment horizontal="center" vertical="center"/>
      <protection locked="0"/>
    </xf>
    <xf numFmtId="1" fontId="6" fillId="0" borderId="27" xfId="135" applyNumberFormat="1" applyFont="1" applyBorder="1" applyAlignment="1" applyProtection="1">
      <alignment horizontal="center" vertical="center"/>
      <protection locked="0"/>
    </xf>
    <xf numFmtId="0" fontId="7" fillId="7" borderId="44" xfId="0" applyFont="1" applyFill="1" applyBorder="1" applyAlignment="1">
      <alignment horizontal="center" vertical="top" wrapText="1"/>
    </xf>
    <xf numFmtId="0" fontId="7" fillId="7" borderId="43" xfId="0" applyFont="1" applyFill="1" applyBorder="1" applyAlignment="1">
      <alignment horizontal="center" vertical="top" wrapText="1"/>
    </xf>
    <xf numFmtId="17" fontId="0" fillId="0" borderId="0" xfId="0" applyNumberFormat="1" applyAlignment="1">
      <alignment/>
    </xf>
    <xf numFmtId="0" fontId="6" fillId="28" borderId="46" xfId="0" applyNumberFormat="1" applyFont="1" applyFill="1" applyBorder="1" applyAlignment="1" applyProtection="1">
      <alignment horizontal="center" vertical="center"/>
      <protection locked="0"/>
    </xf>
    <xf numFmtId="0" fontId="6" fillId="28" borderId="47" xfId="0" applyNumberFormat="1" applyFont="1" applyFill="1" applyBorder="1" applyAlignment="1" applyProtection="1">
      <alignment horizontal="center" vertical="center"/>
      <protection locked="0"/>
    </xf>
    <xf numFmtId="0" fontId="7" fillId="0" borderId="48" xfId="0" applyFont="1" applyFill="1" applyBorder="1" applyAlignment="1">
      <alignment vertical="center" wrapText="1"/>
    </xf>
    <xf numFmtId="0" fontId="6" fillId="28" borderId="12" xfId="0" applyFont="1" applyFill="1" applyBorder="1" applyAlignment="1" applyProtection="1">
      <alignment vertical="center" wrapText="1"/>
      <protection locked="0"/>
    </xf>
    <xf numFmtId="0" fontId="6" fillId="28" borderId="12" xfId="0" applyFont="1" applyFill="1" applyBorder="1" applyAlignment="1" applyProtection="1">
      <alignment horizontal="center" vertical="center"/>
      <protection locked="0"/>
    </xf>
    <xf numFmtId="0" fontId="6" fillId="28" borderId="23" xfId="0" applyFont="1" applyFill="1" applyBorder="1" applyAlignment="1" applyProtection="1">
      <alignment horizontal="center" vertical="center"/>
      <protection locked="0"/>
    </xf>
    <xf numFmtId="0" fontId="28" fillId="0" borderId="0" xfId="0" applyFont="1" applyAlignment="1">
      <alignment vertical="center"/>
    </xf>
    <xf numFmtId="0" fontId="28" fillId="0" borderId="0" xfId="0" applyFont="1" applyAlignment="1">
      <alignment horizontal="left" vertical="center"/>
    </xf>
    <xf numFmtId="0" fontId="19" fillId="0" borderId="49" xfId="91" applyFont="1" applyFill="1" applyBorder="1" applyAlignment="1" applyProtection="1">
      <alignment horizontal="center" vertical="top" wrapText="1"/>
      <protection locked="0"/>
    </xf>
    <xf numFmtId="0" fontId="19" fillId="0" borderId="50" xfId="91" applyFont="1" applyFill="1" applyBorder="1" applyAlignment="1" applyProtection="1">
      <alignment horizontal="center" vertical="top" wrapText="1"/>
      <protection locked="0"/>
    </xf>
    <xf numFmtId="0" fontId="7" fillId="7" borderId="49" xfId="0" applyFont="1" applyFill="1" applyBorder="1" applyAlignment="1">
      <alignment horizontal="center" vertical="center"/>
    </xf>
    <xf numFmtId="0" fontId="6" fillId="0" borderId="30" xfId="0" applyFont="1" applyBorder="1" applyAlignment="1" applyProtection="1">
      <alignment horizontal="center" vertical="center"/>
      <protection locked="0"/>
    </xf>
    <xf numFmtId="0" fontId="0" fillId="0" borderId="0" xfId="0" applyFill="1" applyAlignment="1">
      <alignment/>
    </xf>
    <xf numFmtId="0" fontId="0" fillId="0" borderId="10" xfId="0" applyFont="1" applyBorder="1" applyAlignment="1">
      <alignment vertical="top" wrapText="1"/>
    </xf>
    <xf numFmtId="0" fontId="0" fillId="0" borderId="0" xfId="0" applyFont="1" applyAlignment="1">
      <alignment/>
    </xf>
    <xf numFmtId="49" fontId="7" fillId="25" borderId="31" xfId="0" applyNumberFormat="1" applyFont="1" applyFill="1" applyBorder="1" applyAlignment="1">
      <alignment horizontal="center" vertical="center"/>
    </xf>
    <xf numFmtId="0" fontId="7" fillId="26" borderId="51" xfId="0" applyFont="1" applyFill="1" applyBorder="1" applyAlignment="1">
      <alignment horizontal="center" vertical="top" wrapText="1"/>
    </xf>
    <xf numFmtId="0" fontId="7" fillId="7" borderId="29" xfId="0" applyFont="1" applyFill="1" applyBorder="1" applyAlignment="1">
      <alignment horizontal="center" vertical="center"/>
    </xf>
    <xf numFmtId="49" fontId="7" fillId="25" borderId="3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6" fillId="28" borderId="31" xfId="0" applyFont="1" applyFill="1" applyBorder="1" applyAlignment="1" applyProtection="1">
      <alignment horizontal="center" vertical="center" wrapText="1"/>
      <protection locked="0"/>
    </xf>
    <xf numFmtId="0" fontId="6" fillId="28" borderId="12" xfId="0" applyFont="1" applyFill="1" applyBorder="1" applyAlignment="1" applyProtection="1">
      <alignment horizontal="center" vertical="center" wrapText="1"/>
      <protection locked="0"/>
    </xf>
    <xf numFmtId="0" fontId="6" fillId="28" borderId="23" xfId="0" applyFont="1" applyFill="1" applyBorder="1" applyAlignment="1" applyProtection="1">
      <alignment horizontal="center" vertical="center" wrapText="1"/>
      <protection locked="0"/>
    </xf>
    <xf numFmtId="0" fontId="22" fillId="0" borderId="0" xfId="0" applyFont="1" applyFill="1" applyAlignment="1">
      <alignment/>
    </xf>
    <xf numFmtId="0" fontId="6" fillId="28" borderId="28" xfId="0" applyFont="1" applyFill="1" applyBorder="1" applyAlignment="1" applyProtection="1">
      <alignment horizontal="center" vertical="center"/>
      <protection locked="0"/>
    </xf>
    <xf numFmtId="0" fontId="19" fillId="0" borderId="0" xfId="91" applyFont="1" applyAlignment="1" applyProtection="1">
      <alignment vertical="center"/>
      <protection locked="0"/>
    </xf>
    <xf numFmtId="49" fontId="6" fillId="0" borderId="31" xfId="0" applyNumberFormat="1" applyFont="1" applyBorder="1" applyAlignment="1" applyProtection="1">
      <alignment horizontal="center" vertical="center"/>
      <protection locked="0"/>
    </xf>
    <xf numFmtId="0" fontId="19" fillId="0" borderId="0" xfId="91" applyFont="1" applyAlignment="1" applyProtection="1">
      <alignment horizontal="right" vertical="center"/>
      <protection/>
    </xf>
    <xf numFmtId="0" fontId="19" fillId="0" borderId="0" xfId="91" applyFont="1" applyAlignment="1" applyProtection="1">
      <alignment vertical="center"/>
      <protection/>
    </xf>
    <xf numFmtId="0" fontId="28" fillId="0" borderId="0" xfId="91" applyFont="1" applyAlignment="1" applyProtection="1">
      <alignment vertical="center"/>
      <protection/>
    </xf>
    <xf numFmtId="49" fontId="6" fillId="28" borderId="12" xfId="0" applyNumberFormat="1" applyFont="1" applyFill="1" applyBorder="1" applyAlignment="1" applyProtection="1">
      <alignment horizontal="center" vertical="center" wrapText="1"/>
      <protection locked="0"/>
    </xf>
    <xf numFmtId="0" fontId="19" fillId="7" borderId="52" xfId="91" applyFont="1" applyFill="1" applyBorder="1" applyAlignment="1" applyProtection="1">
      <alignment vertical="top" wrapText="1"/>
      <protection/>
    </xf>
    <xf numFmtId="0" fontId="6" fillId="7" borderId="34" xfId="0" applyFont="1" applyFill="1" applyBorder="1" applyAlignment="1" applyProtection="1">
      <alignment horizontal="center" vertical="center"/>
      <protection/>
    </xf>
    <xf numFmtId="0" fontId="19" fillId="0" borderId="0" xfId="91" applyFont="1" applyBorder="1" applyAlignment="1" applyProtection="1">
      <alignment horizontal="right" vertical="center"/>
      <protection/>
    </xf>
    <xf numFmtId="0" fontId="6" fillId="0" borderId="0" xfId="0" applyFont="1" applyBorder="1" applyAlignment="1" applyProtection="1">
      <alignment vertical="top" wrapText="1"/>
      <protection/>
    </xf>
    <xf numFmtId="0" fontId="5" fillId="0" borderId="0"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6" fillId="28" borderId="31" xfId="0" applyFont="1" applyFill="1" applyBorder="1" applyAlignment="1" applyProtection="1">
      <alignment horizontal="left" vertical="center" wrapText="1" indent="1"/>
      <protection locked="0"/>
    </xf>
    <xf numFmtId="0" fontId="7" fillId="7" borderId="25" xfId="0" applyFont="1" applyFill="1" applyBorder="1" applyAlignment="1">
      <alignment vertical="top" wrapText="1"/>
    </xf>
    <xf numFmtId="0" fontId="7" fillId="7" borderId="26" xfId="0" applyFont="1" applyFill="1" applyBorder="1" applyAlignment="1">
      <alignment horizontal="center" vertical="center" wrapText="1"/>
    </xf>
    <xf numFmtId="0" fontId="6" fillId="28" borderId="12" xfId="0" applyNumberFormat="1" applyFont="1" applyFill="1" applyBorder="1" applyAlignment="1" applyProtection="1">
      <alignment horizontal="center" vertical="center"/>
      <protection locked="0"/>
    </xf>
    <xf numFmtId="0" fontId="7" fillId="7" borderId="53" xfId="0" applyFont="1" applyFill="1" applyBorder="1" applyAlignment="1">
      <alignment horizontal="center" vertical="top" wrapText="1"/>
    </xf>
    <xf numFmtId="0" fontId="2" fillId="0" borderId="0" xfId="0" applyFont="1" applyAlignment="1">
      <alignment/>
    </xf>
    <xf numFmtId="0" fontId="7" fillId="0" borderId="0" xfId="0" applyFont="1" applyFill="1" applyAlignment="1">
      <alignment vertical="center"/>
    </xf>
    <xf numFmtId="0" fontId="19" fillId="7" borderId="28" xfId="91" applyFont="1" applyFill="1" applyBorder="1" applyAlignment="1" applyProtection="1">
      <alignment horizontal="center" vertical="center" wrapText="1"/>
      <protection locked="0"/>
    </xf>
    <xf numFmtId="0" fontId="19" fillId="0" borderId="0" xfId="91" applyFont="1" applyAlignment="1" applyProtection="1">
      <alignment horizontal="left" vertical="center"/>
      <protection locked="0"/>
    </xf>
    <xf numFmtId="0" fontId="22" fillId="0" borderId="0" xfId="0" applyFont="1" applyAlignment="1">
      <alignment/>
    </xf>
    <xf numFmtId="0" fontId="10" fillId="0" borderId="0" xfId="0" applyFont="1" applyFill="1" applyAlignment="1">
      <alignment vertical="center"/>
    </xf>
    <xf numFmtId="0" fontId="6" fillId="0" borderId="54" xfId="0" applyFont="1" applyFill="1" applyBorder="1" applyAlignment="1">
      <alignment vertical="center" wrapText="1"/>
    </xf>
    <xf numFmtId="0" fontId="36" fillId="0" borderId="0" xfId="0" applyFont="1" applyAlignment="1">
      <alignment vertical="center"/>
    </xf>
    <xf numFmtId="0" fontId="37" fillId="0" borderId="0" xfId="0" applyFont="1" applyAlignment="1">
      <alignment vertical="center"/>
    </xf>
    <xf numFmtId="0" fontId="55" fillId="0" borderId="0" xfId="0" applyFont="1" applyFill="1" applyAlignment="1" applyProtection="1">
      <alignment vertical="center"/>
      <protection/>
    </xf>
    <xf numFmtId="0" fontId="55" fillId="0" borderId="0" xfId="0" applyFont="1" applyFill="1" applyAlignment="1" applyProtection="1">
      <alignment horizontal="center" vertical="center"/>
      <protection/>
    </xf>
    <xf numFmtId="0" fontId="8" fillId="24" borderId="13" xfId="0" applyFont="1" applyFill="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0" fontId="8" fillId="24" borderId="15" xfId="0" applyFont="1" applyFill="1" applyBorder="1" applyAlignment="1" applyProtection="1">
      <alignment horizontal="center" vertical="center"/>
      <protection/>
    </xf>
    <xf numFmtId="0" fontId="0" fillId="0" borderId="0" xfId="0" applyFill="1" applyAlignment="1">
      <alignment vertical="center"/>
    </xf>
    <xf numFmtId="0" fontId="57" fillId="0" borderId="0" xfId="0" applyFont="1" applyFill="1" applyAlignment="1">
      <alignment vertical="center"/>
    </xf>
    <xf numFmtId="0" fontId="6" fillId="7" borderId="28" xfId="0" applyFont="1" applyFill="1" applyBorder="1" applyAlignment="1">
      <alignment vertical="center" wrapText="1"/>
    </xf>
    <xf numFmtId="0" fontId="6" fillId="0" borderId="0" xfId="0" applyFont="1" applyFill="1" applyAlignment="1">
      <alignment vertical="center" wrapText="1"/>
    </xf>
    <xf numFmtId="0" fontId="8" fillId="0" borderId="0" xfId="0" applyFont="1" applyFill="1" applyBorder="1" applyAlignment="1" applyProtection="1">
      <alignment horizontal="center" vertical="center"/>
      <protection/>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7" borderId="20" xfId="0" applyFont="1" applyFill="1" applyBorder="1" applyAlignment="1" applyProtection="1">
      <alignment horizontal="center" vertical="center"/>
      <protection/>
    </xf>
    <xf numFmtId="0" fontId="7" fillId="26" borderId="55" xfId="0" applyFont="1" applyFill="1" applyBorder="1" applyAlignment="1" applyProtection="1">
      <alignment horizontal="center" vertical="top" wrapText="1"/>
      <protection/>
    </xf>
    <xf numFmtId="49" fontId="6" fillId="0" borderId="28" xfId="0" applyNumberFormat="1" applyFont="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wrapText="1"/>
      <protection locked="0"/>
    </xf>
    <xf numFmtId="0" fontId="28" fillId="29" borderId="0" xfId="0" applyFont="1" applyFill="1" applyAlignment="1">
      <alignment vertical="center"/>
    </xf>
    <xf numFmtId="0" fontId="6" fillId="29" borderId="0" xfId="0" applyFont="1" applyFill="1" applyAlignment="1">
      <alignment vertical="center"/>
    </xf>
    <xf numFmtId="0" fontId="6" fillId="0" borderId="28" xfId="0" applyFont="1" applyFill="1" applyBorder="1" applyAlignment="1" applyProtection="1">
      <alignment vertical="center" wrapText="1"/>
      <protection locked="0"/>
    </xf>
    <xf numFmtId="0" fontId="6" fillId="0" borderId="27" xfId="0" applyFont="1" applyFill="1" applyBorder="1" applyAlignment="1" applyProtection="1">
      <alignment horizontal="center" vertical="center"/>
      <protection locked="0"/>
    </xf>
    <xf numFmtId="49" fontId="7" fillId="0" borderId="53" xfId="0" applyNumberFormat="1" applyFont="1" applyFill="1" applyBorder="1" applyAlignment="1" applyProtection="1">
      <alignment horizontal="center" vertical="center" wrapText="1"/>
      <protection/>
    </xf>
    <xf numFmtId="0" fontId="7" fillId="0" borderId="31" xfId="0" applyFont="1" applyFill="1" applyBorder="1" applyAlignment="1" applyProtection="1">
      <alignment vertical="center" wrapText="1"/>
      <protection/>
    </xf>
    <xf numFmtId="0" fontId="8" fillId="24" borderId="13" xfId="0" applyFont="1" applyFill="1" applyBorder="1" applyAlignment="1">
      <alignment horizontal="center" vertical="center"/>
    </xf>
    <xf numFmtId="0" fontId="6" fillId="0" borderId="12" xfId="0" applyFont="1" applyFill="1" applyBorder="1" applyAlignment="1" applyProtection="1">
      <alignment horizontal="left" vertical="center" wrapText="1"/>
      <protection locked="0"/>
    </xf>
    <xf numFmtId="0" fontId="6" fillId="0" borderId="12" xfId="0" applyFont="1" applyFill="1" applyBorder="1" applyAlignment="1" applyProtection="1">
      <alignment vertical="center"/>
      <protection locked="0"/>
    </xf>
    <xf numFmtId="0" fontId="6" fillId="0" borderId="23" xfId="0" applyFont="1" applyFill="1" applyBorder="1" applyAlignment="1" applyProtection="1">
      <alignment horizontal="left" vertical="center" wrapText="1"/>
      <protection locked="0"/>
    </xf>
    <xf numFmtId="0" fontId="6" fillId="0" borderId="23" xfId="0" applyFont="1" applyFill="1" applyBorder="1" applyAlignment="1" applyProtection="1">
      <alignment vertical="center"/>
      <protection locked="0"/>
    </xf>
    <xf numFmtId="0" fontId="6" fillId="0" borderId="0" xfId="0" applyFont="1" applyFill="1" applyBorder="1" applyAlignment="1" applyProtection="1">
      <alignment vertical="top" wrapText="1"/>
      <protection/>
    </xf>
    <xf numFmtId="49" fontId="59" fillId="25" borderId="30" xfId="0" applyNumberFormat="1" applyFont="1" applyFill="1" applyBorder="1" applyAlignment="1">
      <alignment horizontal="center" vertical="center"/>
    </xf>
    <xf numFmtId="0" fontId="8" fillId="24" borderId="56" xfId="0" applyFont="1" applyFill="1" applyBorder="1" applyAlignment="1">
      <alignment horizontal="center" vertical="center"/>
    </xf>
    <xf numFmtId="0" fontId="8" fillId="24" borderId="57" xfId="0" applyFont="1" applyFill="1" applyBorder="1" applyAlignment="1">
      <alignment horizontal="center" vertical="center"/>
    </xf>
    <xf numFmtId="49" fontId="7" fillId="7" borderId="45" xfId="0" applyNumberFormat="1" applyFont="1" applyFill="1" applyBorder="1" applyAlignment="1" applyProtection="1">
      <alignment horizontal="left" vertical="center" wrapText="1"/>
      <protection/>
    </xf>
    <xf numFmtId="49" fontId="7" fillId="7" borderId="58"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29" borderId="0" xfId="0" applyFont="1" applyFill="1" applyBorder="1" applyAlignment="1" applyProtection="1">
      <alignment vertical="center"/>
      <protection/>
    </xf>
    <xf numFmtId="49" fontId="7" fillId="29" borderId="0" xfId="0" applyNumberFormat="1" applyFont="1" applyFill="1" applyBorder="1" applyAlignment="1" applyProtection="1">
      <alignment horizontal="center" vertical="center" wrapText="1"/>
      <protection/>
    </xf>
    <xf numFmtId="0" fontId="6" fillId="29" borderId="0" xfId="0" applyFont="1" applyFill="1" applyBorder="1" applyAlignment="1" applyProtection="1">
      <alignment vertical="center" wrapText="1"/>
      <protection/>
    </xf>
    <xf numFmtId="0" fontId="19" fillId="29" borderId="0" xfId="0" applyFont="1" applyFill="1" applyBorder="1" applyAlignment="1" applyProtection="1">
      <alignment horizontal="center" vertical="center"/>
      <protection/>
    </xf>
    <xf numFmtId="0" fontId="1" fillId="29" borderId="0" xfId="0" applyFont="1" applyFill="1" applyBorder="1" applyAlignment="1" applyProtection="1">
      <alignment vertical="center"/>
      <protection/>
    </xf>
    <xf numFmtId="49" fontId="21" fillId="7" borderId="12" xfId="0" applyNumberFormat="1" applyFont="1" applyFill="1" applyBorder="1" applyAlignment="1" applyProtection="1">
      <alignment horizontal="center" vertical="center" wrapText="1"/>
      <protection/>
    </xf>
    <xf numFmtId="0" fontId="21" fillId="7" borderId="12" xfId="0" applyFont="1" applyFill="1" applyBorder="1" applyAlignment="1" applyProtection="1">
      <alignment horizontal="center" vertical="center" wrapText="1"/>
      <protection/>
    </xf>
    <xf numFmtId="0" fontId="21" fillId="7" borderId="30" xfId="0" applyFont="1" applyFill="1" applyBorder="1" applyAlignment="1" applyProtection="1">
      <alignment horizontal="center" vertical="center" wrapText="1"/>
      <protection/>
    </xf>
    <xf numFmtId="49" fontId="7" fillId="29" borderId="26" xfId="0" applyNumberFormat="1" applyFont="1" applyFill="1" applyBorder="1" applyAlignment="1" applyProtection="1">
      <alignment horizontal="center" vertical="center" wrapText="1"/>
      <protection/>
    </xf>
    <xf numFmtId="49" fontId="33" fillId="29" borderId="53" xfId="0" applyNumberFormat="1" applyFont="1" applyFill="1" applyBorder="1" applyAlignment="1" applyProtection="1">
      <alignment horizontal="center" vertical="center" wrapText="1"/>
      <protection/>
    </xf>
    <xf numFmtId="49" fontId="7" fillId="7" borderId="0" xfId="0" applyNumberFormat="1" applyFont="1" applyFill="1" applyBorder="1" applyAlignment="1" applyProtection="1">
      <alignment horizontal="left" vertical="center" wrapText="1"/>
      <protection/>
    </xf>
    <xf numFmtId="49" fontId="7" fillId="29" borderId="53" xfId="0" applyNumberFormat="1" applyFont="1" applyFill="1" applyBorder="1" applyAlignment="1" applyProtection="1">
      <alignment horizontal="center" vertical="center" wrapText="1"/>
      <protection/>
    </xf>
    <xf numFmtId="49" fontId="7" fillId="0" borderId="59" xfId="0" applyNumberFormat="1" applyFont="1" applyFill="1" applyBorder="1" applyAlignment="1" applyProtection="1">
      <alignment horizontal="center" vertical="center" wrapText="1"/>
      <protection/>
    </xf>
    <xf numFmtId="0" fontId="6" fillId="0" borderId="59" xfId="0" applyFont="1" applyFill="1" applyBorder="1" applyAlignment="1" applyProtection="1">
      <alignment vertical="center" wrapText="1"/>
      <protection/>
    </xf>
    <xf numFmtId="0" fontId="19" fillId="0" borderId="59" xfId="91" applyFon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0" fontId="19" fillId="0" borderId="0" xfId="91" applyFont="1" applyFill="1" applyBorder="1" applyAlignment="1" applyProtection="1">
      <alignment horizontal="center" vertical="center"/>
      <protection/>
    </xf>
    <xf numFmtId="49" fontId="6" fillId="0" borderId="26" xfId="0" applyNumberFormat="1" applyFont="1" applyBorder="1" applyAlignment="1" applyProtection="1">
      <alignment horizontal="center" vertical="center" wrapText="1"/>
      <protection locked="0"/>
    </xf>
    <xf numFmtId="0" fontId="14" fillId="0" borderId="0" xfId="0" applyFont="1" applyAlignment="1" applyProtection="1">
      <alignment/>
      <protection locked="0"/>
    </xf>
    <xf numFmtId="0" fontId="8" fillId="24" borderId="14" xfId="0" applyFont="1" applyFill="1" applyBorder="1" applyAlignment="1">
      <alignment horizontal="center" vertical="center" wrapText="1"/>
    </xf>
    <xf numFmtId="0" fontId="6" fillId="0" borderId="0" xfId="0" applyFont="1" applyAlignment="1">
      <alignment horizontal="center" vertical="center" wrapText="1"/>
    </xf>
    <xf numFmtId="0" fontId="24" fillId="0" borderId="0" xfId="0" applyFont="1" applyBorder="1" applyAlignment="1">
      <alignment horizontal="left" vertical="top" wrapText="1"/>
    </xf>
    <xf numFmtId="0" fontId="7" fillId="0" borderId="28" xfId="0" applyFont="1" applyFill="1" applyBorder="1" applyAlignment="1" applyProtection="1">
      <alignment vertical="center" wrapText="1"/>
      <protection locked="0"/>
    </xf>
    <xf numFmtId="0" fontId="6" fillId="0" borderId="0" xfId="0" applyFont="1" applyFill="1" applyAlignment="1">
      <alignment horizontal="center" vertical="center" wrapText="1"/>
    </xf>
    <xf numFmtId="0" fontId="19" fillId="0" borderId="0" xfId="0" applyFont="1" applyBorder="1" applyAlignment="1" applyProtection="1">
      <alignment horizontal="right" vertical="center"/>
      <protection/>
    </xf>
    <xf numFmtId="0" fontId="8" fillId="0" borderId="0" xfId="0" applyFont="1" applyAlignment="1">
      <alignment vertical="center"/>
    </xf>
    <xf numFmtId="0" fontId="7" fillId="0" borderId="0" xfId="0" applyFont="1" applyAlignment="1" applyProtection="1">
      <alignment vertical="center"/>
      <protection/>
    </xf>
    <xf numFmtId="0" fontId="6" fillId="0" borderId="0" xfId="0" applyFont="1" applyFill="1" applyBorder="1" applyAlignment="1" applyProtection="1">
      <alignment horizontal="center" vertical="center" wrapText="1"/>
      <protection/>
    </xf>
    <xf numFmtId="1" fontId="6" fillId="0" borderId="22" xfId="135" applyNumberFormat="1" applyFont="1" applyBorder="1" applyAlignment="1" applyProtection="1">
      <alignment horizontal="center" vertical="center"/>
      <protection locked="0"/>
    </xf>
    <xf numFmtId="1" fontId="6" fillId="0" borderId="21" xfId="0" applyNumberFormat="1" applyFont="1" applyBorder="1" applyAlignment="1" applyProtection="1">
      <alignment horizontal="center" vertical="center"/>
      <protection locked="0"/>
    </xf>
    <xf numFmtId="0" fontId="6" fillId="28" borderId="26" xfId="0" applyFont="1" applyFill="1" applyBorder="1" applyAlignment="1" applyProtection="1">
      <alignment horizontal="center" vertical="center" wrapText="1"/>
      <protection locked="0"/>
    </xf>
    <xf numFmtId="0" fontId="8" fillId="24" borderId="60" xfId="0" applyFont="1" applyFill="1" applyBorder="1" applyAlignment="1">
      <alignment horizontal="center" vertical="center"/>
    </xf>
    <xf numFmtId="0" fontId="6" fillId="0" borderId="26" xfId="0" applyFont="1" applyFill="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0" fillId="0" borderId="0" xfId="0" applyFill="1" applyBorder="1" applyAlignment="1">
      <alignment/>
    </xf>
    <xf numFmtId="0" fontId="6" fillId="0" borderId="26" xfId="0" applyFont="1" applyBorder="1" applyAlignment="1" applyProtection="1">
      <alignment vertical="center" wrapText="1"/>
      <protection locked="0"/>
    </xf>
    <xf numFmtId="49" fontId="6" fillId="0" borderId="26"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vertical="center" wrapText="1"/>
      <protection locked="0"/>
    </xf>
    <xf numFmtId="0" fontId="7" fillId="0" borderId="31" xfId="0" applyFont="1" applyFill="1" applyBorder="1" applyAlignment="1">
      <alignment horizontal="left" vertical="center" wrapText="1"/>
    </xf>
    <xf numFmtId="0" fontId="6" fillId="0" borderId="26" xfId="0" applyFont="1" applyBorder="1" applyAlignment="1">
      <alignment vertical="center"/>
    </xf>
    <xf numFmtId="0" fontId="7" fillId="0" borderId="28" xfId="0" applyFont="1" applyFill="1" applyBorder="1" applyAlignment="1">
      <alignment vertical="center" wrapText="1"/>
    </xf>
    <xf numFmtId="49"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wrapText="1"/>
      <protection/>
    </xf>
    <xf numFmtId="0" fontId="19" fillId="0" borderId="49" xfId="91" applyFont="1" applyFill="1" applyBorder="1" applyAlignment="1" applyProtection="1">
      <alignment vertical="center" wrapText="1"/>
      <protection locked="0"/>
    </xf>
    <xf numFmtId="0" fontId="23" fillId="0" borderId="0" xfId="91" applyFont="1" applyAlignment="1" applyProtection="1">
      <alignment vertical="center"/>
      <protection locked="0"/>
    </xf>
    <xf numFmtId="0" fontId="60" fillId="0" borderId="0" xfId="0" applyFont="1" applyAlignment="1">
      <alignment wrapText="1"/>
    </xf>
    <xf numFmtId="0" fontId="0" fillId="0" borderId="0" xfId="0" applyAlignment="1" applyProtection="1">
      <alignment vertical="top" wrapText="1"/>
      <protection locked="0"/>
    </xf>
    <xf numFmtId="0" fontId="7" fillId="7" borderId="25" xfId="0" applyFont="1" applyFill="1" applyBorder="1" applyAlignment="1">
      <alignment horizontal="center" vertical="center" wrapText="1"/>
    </xf>
    <xf numFmtId="0" fontId="6" fillId="28" borderId="21"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protection/>
    </xf>
    <xf numFmtId="0" fontId="28" fillId="0" borderId="0" xfId="0" applyFont="1" applyFill="1" applyAlignment="1">
      <alignment/>
    </xf>
    <xf numFmtId="0" fontId="22" fillId="0" borderId="0" xfId="0" applyFont="1" applyFill="1" applyAlignment="1">
      <alignment/>
    </xf>
    <xf numFmtId="0" fontId="6" fillId="0" borderId="0" xfId="0" applyFont="1" applyFill="1" applyAlignment="1" applyProtection="1">
      <alignment vertical="center"/>
      <protection/>
    </xf>
    <xf numFmtId="0" fontId="22" fillId="0" borderId="0" xfId="0" applyFont="1" applyFill="1" applyAlignment="1">
      <alignment horizontal="center"/>
    </xf>
    <xf numFmtId="49" fontId="7" fillId="0" borderId="12" xfId="0" applyNumberFormat="1" applyFont="1" applyFill="1" applyBorder="1" applyAlignment="1">
      <alignment horizontal="center"/>
    </xf>
    <xf numFmtId="0" fontId="6" fillId="0" borderId="12" xfId="0" applyFont="1" applyFill="1" applyBorder="1" applyAlignment="1" applyProtection="1">
      <alignment horizontal="center"/>
      <protection locked="0"/>
    </xf>
    <xf numFmtId="49" fontId="0" fillId="0" borderId="0" xfId="0" applyNumberFormat="1" applyFill="1" applyAlignment="1">
      <alignment horizontal="right"/>
    </xf>
    <xf numFmtId="49" fontId="0" fillId="0" borderId="0" xfId="0" applyNumberFormat="1" applyFill="1" applyBorder="1" applyAlignment="1">
      <alignment horizontal="center"/>
    </xf>
    <xf numFmtId="0" fontId="6" fillId="0" borderId="21" xfId="0" applyFont="1" applyFill="1" applyBorder="1" applyAlignment="1" applyProtection="1">
      <alignment horizontal="center"/>
      <protection locked="0"/>
    </xf>
    <xf numFmtId="49" fontId="7" fillId="0" borderId="23" xfId="0" applyNumberFormat="1" applyFont="1" applyFill="1" applyBorder="1" applyAlignment="1">
      <alignment horizontal="center"/>
    </xf>
    <xf numFmtId="0" fontId="6" fillId="0" borderId="23"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7" fillId="7" borderId="12" xfId="0" applyFont="1" applyFill="1" applyBorder="1" applyAlignment="1">
      <alignment horizontal="center" wrapText="1"/>
    </xf>
    <xf numFmtId="0" fontId="8" fillId="24" borderId="49" xfId="0" applyFont="1" applyFill="1" applyBorder="1" applyAlignment="1" applyProtection="1">
      <alignment vertical="center"/>
      <protection/>
    </xf>
    <xf numFmtId="0" fontId="61" fillId="24" borderId="30" xfId="0" applyFont="1" applyFill="1" applyBorder="1" applyAlignment="1">
      <alignment wrapText="1"/>
    </xf>
    <xf numFmtId="0" fontId="28" fillId="0" borderId="0" xfId="0" applyFont="1" applyFill="1" applyAlignment="1">
      <alignment/>
    </xf>
    <xf numFmtId="0" fontId="6" fillId="0" borderId="27" xfId="0" applyFont="1" applyFill="1" applyBorder="1" applyAlignment="1" applyProtection="1">
      <alignment vertical="top" wrapText="1"/>
      <protection locked="0"/>
    </xf>
    <xf numFmtId="0" fontId="9" fillId="24" borderId="13" xfId="0" applyFont="1" applyFill="1" applyBorder="1" applyAlignment="1">
      <alignment horizontal="center"/>
    </xf>
    <xf numFmtId="0" fontId="7" fillId="7" borderId="20" xfId="0" applyFont="1" applyFill="1" applyBorder="1" applyAlignment="1">
      <alignment horizontal="center" vertical="center"/>
    </xf>
    <xf numFmtId="49" fontId="7" fillId="25" borderId="21" xfId="0" applyNumberFormat="1" applyFont="1" applyFill="1" applyBorder="1" applyAlignment="1">
      <alignment horizontal="center" vertical="center" wrapText="1"/>
    </xf>
    <xf numFmtId="49" fontId="7" fillId="25" borderId="21" xfId="0" applyNumberFormat="1" applyFont="1" applyFill="1" applyBorder="1" applyAlignment="1">
      <alignment horizontal="center" vertical="center"/>
    </xf>
    <xf numFmtId="0" fontId="6" fillId="0" borderId="0" xfId="0" applyFont="1" applyFill="1" applyAlignment="1" applyProtection="1">
      <alignment horizontal="right" vertical="center"/>
      <protection/>
    </xf>
    <xf numFmtId="0" fontId="0" fillId="0" borderId="0" xfId="0" applyFill="1" applyAlignment="1" applyProtection="1">
      <alignment/>
      <protection/>
    </xf>
    <xf numFmtId="0" fontId="6" fillId="0" borderId="28" xfId="135" applyNumberFormat="1" applyFont="1" applyFill="1" applyBorder="1" applyAlignment="1" applyProtection="1">
      <alignment horizontal="center" vertical="center"/>
      <protection locked="0"/>
    </xf>
    <xf numFmtId="0" fontId="6" fillId="0" borderId="61" xfId="135" applyNumberFormat="1" applyFont="1" applyFill="1" applyBorder="1" applyAlignment="1" applyProtection="1">
      <alignment horizontal="center" vertical="center"/>
      <protection locked="0"/>
    </xf>
    <xf numFmtId="0" fontId="6" fillId="0" borderId="12" xfId="135" applyNumberFormat="1" applyFont="1" applyFill="1" applyBorder="1" applyAlignment="1" applyProtection="1">
      <alignment horizontal="center" vertical="center"/>
      <protection locked="0"/>
    </xf>
    <xf numFmtId="0" fontId="6" fillId="0" borderId="31" xfId="135" applyNumberFormat="1" applyFont="1" applyFill="1" applyBorder="1" applyAlignment="1" applyProtection="1">
      <alignment horizontal="center" vertical="center"/>
      <protection locked="0"/>
    </xf>
    <xf numFmtId="49" fontId="7" fillId="29" borderId="28" xfId="0" applyNumberFormat="1" applyFont="1" applyFill="1" applyBorder="1" applyAlignment="1" applyProtection="1">
      <alignment horizontal="center" vertical="center" wrapText="1"/>
      <protection/>
    </xf>
    <xf numFmtId="0" fontId="16" fillId="30" borderId="0" xfId="0" applyFont="1" applyFill="1" applyAlignment="1">
      <alignment vertical="center"/>
    </xf>
    <xf numFmtId="0" fontId="6" fillId="0" borderId="26" xfId="0" applyFont="1" applyFill="1" applyBorder="1" applyAlignment="1" applyProtection="1">
      <alignment vertical="center" wrapText="1"/>
      <protection locked="0"/>
    </xf>
    <xf numFmtId="49" fontId="6" fillId="0" borderId="26"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49" fontId="6" fillId="0" borderId="26" xfId="0" applyNumberFormat="1" applyFont="1" applyFill="1" applyBorder="1" applyAlignment="1" applyProtection="1">
      <alignment vertical="center" wrapText="1"/>
      <protection locked="0"/>
    </xf>
    <xf numFmtId="0" fontId="6" fillId="0" borderId="55" xfId="0" applyFont="1" applyFill="1" applyBorder="1" applyAlignment="1" applyProtection="1">
      <alignment horizontal="center" vertical="center"/>
      <protection locked="0"/>
    </xf>
    <xf numFmtId="49" fontId="6" fillId="0" borderId="23" xfId="0" applyNumberFormat="1" applyFont="1" applyFill="1" applyBorder="1" applyAlignment="1" applyProtection="1">
      <alignment vertical="center" wrapText="1"/>
      <protection locked="0"/>
    </xf>
    <xf numFmtId="0" fontId="19" fillId="7" borderId="34" xfId="91" applyFont="1" applyFill="1" applyBorder="1" applyAlignment="1" applyProtection="1">
      <alignment horizontal="center" vertical="top"/>
      <protection locked="0"/>
    </xf>
    <xf numFmtId="0" fontId="8" fillId="24" borderId="30" xfId="0" applyNumberFormat="1" applyFont="1" applyFill="1" applyBorder="1" applyAlignment="1">
      <alignment horizontal="center" vertical="center"/>
    </xf>
    <xf numFmtId="0" fontId="8" fillId="24" borderId="50" xfId="0" applyNumberFormat="1" applyFont="1" applyFill="1" applyBorder="1" applyAlignment="1">
      <alignment horizontal="center" vertical="center"/>
    </xf>
    <xf numFmtId="0" fontId="19" fillId="0" borderId="50" xfId="91" applyFont="1" applyFill="1" applyBorder="1" applyAlignment="1" applyProtection="1">
      <alignment vertical="center" wrapText="1"/>
      <protection locked="0"/>
    </xf>
    <xf numFmtId="0" fontId="6" fillId="28" borderId="20" xfId="0" applyFont="1" applyFill="1" applyBorder="1" applyAlignment="1" applyProtection="1">
      <alignment horizontal="center" vertical="center" wrapText="1"/>
      <protection locked="0"/>
    </xf>
    <xf numFmtId="0" fontId="0" fillId="0" borderId="0" xfId="0" applyNumberFormat="1" applyFont="1" applyAlignment="1" quotePrefix="1">
      <alignment/>
    </xf>
    <xf numFmtId="0" fontId="0" fillId="0" borderId="0" xfId="0" applyNumberFormat="1" applyFont="1" applyAlignment="1">
      <alignment/>
    </xf>
    <xf numFmtId="0" fontId="0" fillId="0" borderId="0" xfId="0" applyFont="1" applyAlignment="1">
      <alignment/>
    </xf>
    <xf numFmtId="0" fontId="7" fillId="0" borderId="26" xfId="0" applyFont="1" applyFill="1" applyBorder="1" applyAlignment="1">
      <alignment vertical="center" wrapText="1"/>
    </xf>
    <xf numFmtId="0" fontId="6" fillId="0" borderId="48" xfId="91" applyFont="1" applyBorder="1" applyAlignment="1" applyProtection="1">
      <alignment horizontal="center" vertical="center"/>
      <protection locked="0"/>
    </xf>
    <xf numFmtId="1" fontId="6" fillId="0" borderId="21" xfId="0" applyNumberFormat="1" applyFont="1" applyFill="1" applyBorder="1" applyAlignment="1" applyProtection="1">
      <alignment horizontal="center" vertical="center"/>
      <protection locked="0"/>
    </xf>
    <xf numFmtId="0" fontId="73" fillId="24" borderId="33" xfId="0" applyFont="1" applyFill="1" applyBorder="1" applyAlignment="1">
      <alignment horizontal="center" vertical="center"/>
    </xf>
    <xf numFmtId="0" fontId="73" fillId="24" borderId="15" xfId="0" applyFont="1" applyFill="1" applyBorder="1" applyAlignment="1">
      <alignment horizontal="center" vertical="center"/>
    </xf>
    <xf numFmtId="0" fontId="0" fillId="0" borderId="0" xfId="0" applyBorder="1" applyAlignment="1" applyProtection="1">
      <alignment vertical="top" wrapText="1"/>
      <protection/>
    </xf>
    <xf numFmtId="0" fontId="6" fillId="28" borderId="48" xfId="0" applyFont="1" applyFill="1" applyBorder="1" applyAlignment="1" applyProtection="1">
      <alignment horizontal="center" vertical="center" wrapText="1"/>
      <protection locked="0"/>
    </xf>
    <xf numFmtId="0" fontId="7" fillId="0" borderId="34" xfId="0" applyFont="1" applyFill="1" applyBorder="1" applyAlignment="1" applyProtection="1">
      <alignment vertical="center" wrapText="1"/>
      <protection locked="0"/>
    </xf>
    <xf numFmtId="0" fontId="6" fillId="0" borderId="12" xfId="135" applyNumberFormat="1" applyFont="1" applyBorder="1" applyAlignment="1" applyProtection="1">
      <alignment horizontal="center" vertical="center"/>
      <protection locked="0"/>
    </xf>
    <xf numFmtId="0" fontId="6" fillId="0" borderId="26" xfId="135" applyNumberFormat="1" applyFont="1" applyBorder="1" applyAlignment="1" applyProtection="1">
      <alignment horizontal="center" vertical="center"/>
      <protection locked="0"/>
    </xf>
    <xf numFmtId="0" fontId="6" fillId="0" borderId="26" xfId="135" applyNumberFormat="1" applyFont="1" applyFill="1" applyBorder="1" applyAlignment="1" applyProtection="1">
      <alignment horizontal="center" vertical="center"/>
      <protection locked="0"/>
    </xf>
    <xf numFmtId="0" fontId="6" fillId="0" borderId="23" xfId="135" applyNumberFormat="1" applyFont="1" applyFill="1" applyBorder="1" applyAlignment="1" applyProtection="1">
      <alignment horizontal="center" vertical="center"/>
      <protection locked="0"/>
    </xf>
    <xf numFmtId="0" fontId="8" fillId="24" borderId="15" xfId="0" applyFont="1" applyFill="1" applyBorder="1" applyAlignment="1" quotePrefix="1">
      <alignment horizontal="center" vertical="center"/>
    </xf>
    <xf numFmtId="0" fontId="6" fillId="29" borderId="26" xfId="0" applyFont="1" applyFill="1" applyBorder="1" applyAlignment="1" applyProtection="1">
      <alignment vertical="center" wrapText="1"/>
      <protection locked="0"/>
    </xf>
    <xf numFmtId="0" fontId="19" fillId="29" borderId="26" xfId="91" applyFont="1" applyFill="1" applyBorder="1" applyAlignment="1" applyProtection="1">
      <alignment horizontal="center" vertical="center"/>
      <protection locked="0"/>
    </xf>
    <xf numFmtId="0" fontId="6" fillId="29" borderId="53" xfId="0" applyFont="1" applyFill="1" applyBorder="1" applyAlignment="1" applyProtection="1">
      <alignment vertical="center" wrapText="1"/>
      <protection locked="0"/>
    </xf>
    <xf numFmtId="0" fontId="19" fillId="29" borderId="58" xfId="91" applyFont="1" applyFill="1" applyBorder="1" applyAlignment="1" applyProtection="1">
      <alignment horizontal="center" vertical="center"/>
      <protection locked="0"/>
    </xf>
    <xf numFmtId="0" fontId="6" fillId="0" borderId="53" xfId="0" applyFont="1" applyFill="1" applyBorder="1" applyAlignment="1" applyProtection="1">
      <alignment vertical="center" wrapText="1"/>
      <protection locked="0"/>
    </xf>
    <xf numFmtId="0" fontId="6" fillId="0" borderId="58" xfId="0" applyFont="1" applyFill="1" applyBorder="1" applyAlignment="1" applyProtection="1">
      <alignment wrapText="1"/>
      <protection locked="0"/>
    </xf>
    <xf numFmtId="0" fontId="19" fillId="0" borderId="58" xfId="91" applyFont="1" applyFill="1" applyBorder="1" applyAlignment="1" applyProtection="1">
      <alignment horizontal="center" vertical="center"/>
      <protection locked="0"/>
    </xf>
    <xf numFmtId="0" fontId="13" fillId="29" borderId="53" xfId="0" applyFont="1" applyFill="1" applyBorder="1" applyAlignment="1" applyProtection="1">
      <alignment vertical="center" wrapText="1"/>
      <protection locked="0"/>
    </xf>
    <xf numFmtId="0" fontId="6" fillId="29" borderId="28" xfId="0" applyFont="1" applyFill="1" applyBorder="1" applyAlignment="1" applyProtection="1">
      <alignment vertical="center" wrapText="1"/>
      <protection locked="0"/>
    </xf>
    <xf numFmtId="0" fontId="19" fillId="29" borderId="34" xfId="91" applyFont="1" applyFill="1" applyBorder="1" applyAlignment="1" applyProtection="1">
      <alignment horizontal="center" vertical="center"/>
      <protection locked="0"/>
    </xf>
    <xf numFmtId="0" fontId="19" fillId="7" borderId="22" xfId="91"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0" fontId="6" fillId="28" borderId="55" xfId="0" applyFont="1" applyFill="1" applyBorder="1" applyAlignment="1" applyProtection="1">
      <alignment horizontal="center" vertical="center" wrapText="1"/>
      <protection locked="0"/>
    </xf>
    <xf numFmtId="0" fontId="6" fillId="28" borderId="22" xfId="0" applyFont="1" applyFill="1" applyBorder="1" applyAlignment="1" applyProtection="1">
      <alignment horizontal="center" vertical="center" wrapText="1"/>
      <protection locked="0"/>
    </xf>
    <xf numFmtId="0" fontId="6" fillId="28" borderId="62" xfId="0" applyFont="1" applyFill="1" applyBorder="1" applyAlignment="1" applyProtection="1">
      <alignment horizontal="center" vertical="center" wrapText="1"/>
      <protection locked="0"/>
    </xf>
    <xf numFmtId="0" fontId="0" fillId="0" borderId="0" xfId="0" applyNumberFormat="1" applyFont="1" applyAlignment="1" quotePrefix="1">
      <alignment/>
    </xf>
    <xf numFmtId="0" fontId="0" fillId="0" borderId="0" xfId="0" applyNumberFormat="1" applyFont="1" applyAlignment="1">
      <alignment/>
    </xf>
    <xf numFmtId="0" fontId="16" fillId="31" borderId="0" xfId="0" applyFont="1" applyFill="1" applyBorder="1" applyAlignment="1">
      <alignment horizontal="center" vertical="center" wrapText="1"/>
    </xf>
    <xf numFmtId="0" fontId="16" fillId="31" borderId="0" xfId="0" applyFont="1" applyFill="1" applyBorder="1" applyAlignment="1">
      <alignment horizontal="center" vertical="center"/>
    </xf>
    <xf numFmtId="0" fontId="6" fillId="0" borderId="28" xfId="0" applyFont="1" applyBorder="1" applyAlignment="1" applyProtection="1">
      <alignment horizontal="center" vertical="center"/>
      <protection locked="0"/>
    </xf>
    <xf numFmtId="0" fontId="7" fillId="7" borderId="63" xfId="0" applyFont="1" applyFill="1" applyBorder="1" applyAlignment="1">
      <alignment horizontal="center" wrapText="1"/>
    </xf>
    <xf numFmtId="0" fontId="12" fillId="7" borderId="43" xfId="0" applyFont="1" applyFill="1" applyBorder="1" applyAlignment="1">
      <alignment vertical="top" wrapText="1"/>
    </xf>
    <xf numFmtId="49" fontId="7" fillId="29" borderId="45" xfId="0" applyNumberFormat="1" applyFont="1" applyFill="1" applyBorder="1" applyAlignment="1" applyProtection="1">
      <alignment horizontal="center" vertical="center" wrapText="1"/>
      <protection/>
    </xf>
    <xf numFmtId="0" fontId="19" fillId="0" borderId="30" xfId="91" applyFont="1" applyFill="1" applyBorder="1" applyAlignment="1" applyProtection="1">
      <alignment horizontal="center" vertical="top" wrapText="1"/>
      <protection locked="0"/>
    </xf>
    <xf numFmtId="0" fontId="19" fillId="0" borderId="30" xfId="91" applyFont="1" applyBorder="1" applyAlignment="1" applyProtection="1">
      <alignment vertical="center"/>
      <protection locked="0"/>
    </xf>
    <xf numFmtId="0" fontId="19" fillId="26" borderId="61" xfId="91" applyFont="1" applyFill="1" applyBorder="1" applyAlignment="1" applyProtection="1">
      <alignment horizontal="center" vertical="top"/>
      <protection locked="0"/>
    </xf>
    <xf numFmtId="0" fontId="6" fillId="28" borderId="20" xfId="121" applyFont="1" applyFill="1" applyBorder="1" applyAlignment="1" applyProtection="1">
      <alignment horizontal="center" vertical="center"/>
      <protection locked="0"/>
    </xf>
    <xf numFmtId="0" fontId="8" fillId="24" borderId="49" xfId="121" applyFont="1" applyFill="1" applyBorder="1" applyAlignment="1" applyProtection="1">
      <alignment horizontal="center" vertical="center"/>
      <protection/>
    </xf>
    <xf numFmtId="0" fontId="6" fillId="0" borderId="55" xfId="0" applyFont="1" applyFill="1" applyBorder="1" applyAlignment="1" applyProtection="1">
      <alignment vertical="top" wrapText="1"/>
      <protection locked="0"/>
    </xf>
    <xf numFmtId="0" fontId="8" fillId="24" borderId="23" xfId="0" applyFont="1" applyFill="1" applyBorder="1" applyAlignment="1">
      <alignment horizontal="center" vertical="center"/>
    </xf>
    <xf numFmtId="0" fontId="8" fillId="24" borderId="64" xfId="0" applyFont="1" applyFill="1" applyBorder="1" applyAlignment="1">
      <alignment horizontal="center" vertical="center"/>
    </xf>
    <xf numFmtId="0" fontId="19" fillId="0" borderId="65" xfId="91" applyFont="1" applyFill="1" applyBorder="1" applyAlignment="1" applyProtection="1">
      <alignment vertical="center" wrapText="1"/>
      <protection locked="0"/>
    </xf>
    <xf numFmtId="0" fontId="6" fillId="0" borderId="63" xfId="91" applyFont="1" applyFill="1" applyBorder="1" applyAlignment="1" applyProtection="1">
      <alignment horizontal="center" vertical="center" wrapText="1"/>
      <protection locked="0"/>
    </xf>
    <xf numFmtId="0" fontId="19" fillId="26" borderId="28" xfId="91" applyFont="1" applyFill="1" applyBorder="1" applyAlignment="1" applyProtection="1">
      <alignment horizontal="center" vertical="top"/>
      <protection locked="0"/>
    </xf>
    <xf numFmtId="0" fontId="8" fillId="24" borderId="12" xfId="105" applyFont="1" applyFill="1" applyBorder="1" applyAlignment="1" applyProtection="1">
      <alignment horizontal="center" vertical="center"/>
      <protection/>
    </xf>
    <xf numFmtId="0" fontId="8" fillId="24" borderId="23" xfId="105" applyFont="1" applyFill="1" applyBorder="1" applyAlignment="1" applyProtection="1">
      <alignment horizontal="center" vertical="center"/>
      <protection/>
    </xf>
    <xf numFmtId="0" fontId="8" fillId="24" borderId="19" xfId="105" applyFont="1" applyFill="1" applyBorder="1" applyAlignment="1" applyProtection="1">
      <alignment horizontal="center" vertical="center"/>
      <protection/>
    </xf>
    <xf numFmtId="0" fontId="22" fillId="0" borderId="0" xfId="0" applyNumberFormat="1" applyFont="1" applyAlignment="1">
      <alignment/>
    </xf>
    <xf numFmtId="0" fontId="19" fillId="0" borderId="66" xfId="91" applyFont="1" applyFill="1" applyBorder="1" applyAlignment="1" applyProtection="1">
      <alignment vertical="center"/>
      <protection locked="0"/>
    </xf>
    <xf numFmtId="0" fontId="8" fillId="24" borderId="60" xfId="0" applyFont="1" applyFill="1" applyBorder="1" applyAlignment="1" applyProtection="1">
      <alignment horizontal="center" vertical="center"/>
      <protection/>
    </xf>
    <xf numFmtId="0" fontId="19" fillId="0" borderId="58" xfId="91" applyFont="1" applyFill="1" applyBorder="1" applyAlignment="1" applyProtection="1">
      <alignment vertical="center" wrapText="1"/>
      <protection locked="0"/>
    </xf>
    <xf numFmtId="0" fontId="7" fillId="7" borderId="67" xfId="0" applyFont="1" applyFill="1" applyBorder="1" applyAlignment="1" applyProtection="1">
      <alignment vertical="center"/>
      <protection/>
    </xf>
    <xf numFmtId="0" fontId="28" fillId="0" borderId="0" xfId="105" applyFont="1" applyAlignment="1" applyProtection="1">
      <alignment vertical="center"/>
      <protection/>
    </xf>
    <xf numFmtId="0" fontId="8" fillId="24" borderId="14" xfId="105" applyFont="1" applyFill="1" applyBorder="1" applyAlignment="1" applyProtection="1">
      <alignment horizontal="center" vertical="center"/>
      <protection/>
    </xf>
    <xf numFmtId="0" fontId="8" fillId="24" borderId="15" xfId="105" applyFont="1" applyFill="1" applyBorder="1" applyAlignment="1" applyProtection="1">
      <alignment horizontal="center" vertical="center"/>
      <protection/>
    </xf>
    <xf numFmtId="0" fontId="8" fillId="0" borderId="0" xfId="105" applyFont="1" applyFill="1" applyBorder="1" applyAlignment="1" applyProtection="1">
      <alignment horizontal="center" vertical="center"/>
      <protection/>
    </xf>
    <xf numFmtId="0" fontId="6" fillId="0" borderId="0" xfId="105" applyFont="1" applyBorder="1" applyAlignment="1" applyProtection="1">
      <alignment horizontal="center" vertical="center"/>
      <protection/>
    </xf>
    <xf numFmtId="0" fontId="6" fillId="0" borderId="0" xfId="105" applyFont="1" applyFill="1" applyBorder="1" applyAlignment="1" applyProtection="1">
      <alignment horizontal="left" vertical="center" wrapText="1"/>
      <protection/>
    </xf>
    <xf numFmtId="0" fontId="6" fillId="0" borderId="0" xfId="105" applyFont="1" applyFill="1" applyBorder="1" applyAlignment="1" applyProtection="1">
      <alignment horizontal="center" vertical="center"/>
      <protection/>
    </xf>
    <xf numFmtId="0" fontId="8" fillId="24" borderId="49" xfId="105" applyFont="1" applyFill="1" applyBorder="1" applyAlignment="1" applyProtection="1">
      <alignment horizontal="center" vertical="center"/>
      <protection/>
    </xf>
    <xf numFmtId="0" fontId="6" fillId="0" borderId="0" xfId="105" applyFont="1" applyFill="1" applyBorder="1" applyAlignment="1" applyProtection="1">
      <alignment horizontal="left" vertical="center" wrapText="1" indent="3"/>
      <protection/>
    </xf>
    <xf numFmtId="0" fontId="6" fillId="0" borderId="0" xfId="91" applyFont="1" applyFill="1" applyBorder="1" applyAlignment="1" applyProtection="1">
      <alignment horizontal="left" vertical="center" wrapText="1" indent="3"/>
      <protection/>
    </xf>
    <xf numFmtId="0" fontId="8" fillId="24" borderId="30" xfId="105" applyFont="1" applyFill="1" applyBorder="1" applyAlignment="1" applyProtection="1">
      <alignment horizontal="center" vertical="center"/>
      <protection/>
    </xf>
    <xf numFmtId="0" fontId="8" fillId="24" borderId="68" xfId="105" applyFont="1" applyFill="1" applyBorder="1" applyAlignment="1" applyProtection="1">
      <alignment horizontal="center" vertical="center"/>
      <protection/>
    </xf>
    <xf numFmtId="0" fontId="19" fillId="0" borderId="0" xfId="91" applyFont="1" applyFill="1" applyBorder="1" applyAlignment="1" applyProtection="1">
      <alignment vertical="top" wrapText="1"/>
      <protection/>
    </xf>
    <xf numFmtId="0" fontId="6" fillId="32" borderId="12" xfId="105" applyFont="1" applyFill="1" applyBorder="1" applyAlignment="1" applyProtection="1">
      <alignment horizontal="center" vertical="center" wrapText="1"/>
      <protection locked="0"/>
    </xf>
    <xf numFmtId="0" fontId="6" fillId="32" borderId="31" xfId="105" applyFont="1" applyFill="1" applyBorder="1" applyAlignment="1" applyProtection="1">
      <alignment horizontal="center" vertical="center" wrapText="1"/>
      <protection locked="0"/>
    </xf>
    <xf numFmtId="0" fontId="24" fillId="0" borderId="0" xfId="0" applyFont="1" applyAlignment="1">
      <alignment/>
    </xf>
    <xf numFmtId="0" fontId="19" fillId="26" borderId="22" xfId="91" applyFont="1" applyFill="1" applyBorder="1" applyAlignment="1" applyProtection="1">
      <alignment horizontal="center" vertical="top" wrapText="1"/>
      <protection/>
    </xf>
    <xf numFmtId="49" fontId="7" fillId="7" borderId="45" xfId="0" applyNumberFormat="1" applyFont="1" applyFill="1" applyBorder="1" applyAlignment="1" applyProtection="1">
      <alignment horizontal="left" vertical="center"/>
      <protection/>
    </xf>
    <xf numFmtId="0" fontId="19" fillId="7" borderId="43" xfId="91" applyFont="1" applyFill="1" applyBorder="1" applyAlignment="1" applyProtection="1">
      <alignment horizontal="center" vertical="top" wrapText="1"/>
      <protection/>
    </xf>
    <xf numFmtId="0" fontId="6" fillId="0" borderId="69" xfId="105" applyFont="1" applyFill="1" applyBorder="1" applyAlignment="1" applyProtection="1">
      <alignment horizontal="left" vertical="center"/>
      <protection locked="0"/>
    </xf>
    <xf numFmtId="0" fontId="6" fillId="0" borderId="21" xfId="105" applyFont="1" applyFill="1" applyBorder="1" applyAlignment="1" applyProtection="1">
      <alignment horizontal="left" vertical="center"/>
      <protection locked="0"/>
    </xf>
    <xf numFmtId="0" fontId="7" fillId="0" borderId="70" xfId="0" applyNumberFormat="1" applyFont="1" applyBorder="1" applyAlignment="1" applyProtection="1">
      <alignment horizontal="center" vertical="center"/>
      <protection/>
    </xf>
    <xf numFmtId="0" fontId="6" fillId="28" borderId="28" xfId="0" applyFont="1" applyFill="1" applyBorder="1" applyAlignment="1" applyProtection="1">
      <alignment horizontal="center" vertical="center" wrapText="1"/>
      <protection locked="0"/>
    </xf>
    <xf numFmtId="0" fontId="8" fillId="24" borderId="33" xfId="0" applyFont="1" applyFill="1" applyBorder="1" applyAlignment="1">
      <alignment horizontal="center" vertical="center" wrapText="1"/>
    </xf>
    <xf numFmtId="0" fontId="6" fillId="0" borderId="0" xfId="105" applyFont="1" applyFill="1" applyBorder="1" applyAlignment="1" applyProtection="1">
      <alignment horizontal="center" vertical="center" wrapText="1"/>
      <protection/>
    </xf>
    <xf numFmtId="49" fontId="6" fillId="0" borderId="0" xfId="0" applyNumberFormat="1" applyFont="1" applyFill="1" applyBorder="1" applyAlignment="1" applyProtection="1">
      <alignment vertical="center" wrapText="1"/>
      <protection/>
    </xf>
    <xf numFmtId="0" fontId="16" fillId="0" borderId="0" xfId="0" applyFont="1" applyFill="1" applyBorder="1" applyAlignment="1">
      <alignment vertical="center"/>
    </xf>
    <xf numFmtId="0" fontId="74" fillId="0" borderId="0" xfId="0" applyFont="1" applyFill="1" applyBorder="1" applyAlignment="1">
      <alignment vertical="top"/>
    </xf>
    <xf numFmtId="0" fontId="7" fillId="0" borderId="17" xfId="0" applyFont="1" applyFill="1" applyBorder="1" applyAlignment="1">
      <alignment vertical="center" wrapText="1"/>
    </xf>
    <xf numFmtId="0" fontId="7" fillId="0" borderId="0" xfId="0" applyFont="1" applyFill="1" applyBorder="1" applyAlignment="1">
      <alignment vertical="center" wrapText="1"/>
    </xf>
    <xf numFmtId="0" fontId="6" fillId="0" borderId="21" xfId="0" applyFont="1" applyFill="1" applyBorder="1" applyAlignment="1">
      <alignment vertical="center"/>
    </xf>
    <xf numFmtId="0" fontId="6" fillId="0" borderId="27" xfId="0" applyFont="1" applyFill="1" applyBorder="1" applyAlignment="1">
      <alignment vertical="center"/>
    </xf>
    <xf numFmtId="0" fontId="19" fillId="0" borderId="0" xfId="91" applyFont="1" applyFill="1" applyBorder="1" applyAlignment="1" applyProtection="1">
      <alignment horizontal="center" vertical="center" wrapText="1"/>
      <protection/>
    </xf>
    <xf numFmtId="0" fontId="6" fillId="0" borderId="21" xfId="0" applyFont="1" applyFill="1" applyBorder="1" applyAlignment="1" applyProtection="1">
      <alignment vertical="center"/>
      <protection locked="0"/>
    </xf>
    <xf numFmtId="0" fontId="6" fillId="0" borderId="0" xfId="0" applyFont="1" applyBorder="1" applyAlignment="1">
      <alignment horizontal="center" vertical="center"/>
    </xf>
    <xf numFmtId="49" fontId="6" fillId="0" borderId="21" xfId="0" applyNumberFormat="1" applyFont="1" applyBorder="1" applyAlignment="1" applyProtection="1">
      <alignment horizontal="center" vertical="center" wrapText="1"/>
      <protection locked="0"/>
    </xf>
    <xf numFmtId="0" fontId="6" fillId="27" borderId="21" xfId="0" applyFont="1" applyFill="1" applyBorder="1" applyAlignment="1" applyProtection="1">
      <alignment horizontal="center" vertical="center"/>
      <protection/>
    </xf>
    <xf numFmtId="49" fontId="6" fillId="0" borderId="22" xfId="0" applyNumberFormat="1" applyFont="1" applyBorder="1" applyAlignment="1" applyProtection="1">
      <alignment horizontal="center" vertical="center" wrapText="1"/>
      <protection locked="0"/>
    </xf>
    <xf numFmtId="49" fontId="6" fillId="0" borderId="22" xfId="0" applyNumberFormat="1" applyFont="1" applyFill="1" applyBorder="1" applyAlignment="1" applyProtection="1">
      <alignment horizontal="center" vertical="center" wrapText="1"/>
      <protection locked="0"/>
    </xf>
    <xf numFmtId="49" fontId="6" fillId="0" borderId="27" xfId="0" applyNumberFormat="1" applyFont="1" applyBorder="1" applyAlignment="1" applyProtection="1">
      <alignment horizontal="center" vertical="center" wrapText="1"/>
      <protection locked="0"/>
    </xf>
    <xf numFmtId="49" fontId="6" fillId="0" borderId="54" xfId="0" applyNumberFormat="1" applyFont="1" applyBorder="1" applyAlignment="1" applyProtection="1">
      <alignment horizontal="center" vertical="center" wrapText="1"/>
      <protection/>
    </xf>
    <xf numFmtId="0" fontId="0" fillId="0" borderId="0" xfId="105">
      <alignment/>
      <protection/>
    </xf>
    <xf numFmtId="0" fontId="6" fillId="0" borderId="0" xfId="105" applyFont="1" applyAlignment="1" applyProtection="1">
      <alignment vertical="center"/>
      <protection/>
    </xf>
    <xf numFmtId="0" fontId="6" fillId="0" borderId="12" xfId="105" applyFont="1" applyFill="1" applyBorder="1" applyAlignment="1" applyProtection="1">
      <alignment horizontal="center" vertical="center"/>
      <protection locked="0"/>
    </xf>
    <xf numFmtId="0" fontId="6" fillId="0" borderId="23" xfId="105" applyFont="1" applyFill="1" applyBorder="1" applyAlignment="1" applyProtection="1">
      <alignment horizontal="center" vertical="center"/>
      <protection locked="0"/>
    </xf>
    <xf numFmtId="0" fontId="6" fillId="0" borderId="0" xfId="105" applyFont="1" applyFill="1" applyAlignment="1" applyProtection="1">
      <alignment vertical="center"/>
      <protection/>
    </xf>
    <xf numFmtId="0" fontId="6" fillId="0" borderId="21" xfId="105" applyFont="1" applyFill="1" applyBorder="1" applyAlignment="1" applyProtection="1">
      <alignment horizontal="center" vertical="center"/>
      <protection locked="0"/>
    </xf>
    <xf numFmtId="0" fontId="6" fillId="0" borderId="27" xfId="105" applyFont="1" applyFill="1" applyBorder="1" applyAlignment="1" applyProtection="1">
      <alignment horizontal="center" vertical="center"/>
      <protection locked="0"/>
    </xf>
    <xf numFmtId="0" fontId="6" fillId="32" borderId="12" xfId="105" applyFont="1" applyFill="1" applyBorder="1" applyAlignment="1" applyProtection="1">
      <alignment horizontal="center" vertical="center"/>
      <protection locked="0"/>
    </xf>
    <xf numFmtId="0" fontId="6" fillId="32" borderId="23" xfId="105" applyFont="1" applyFill="1" applyBorder="1" applyAlignment="1" applyProtection="1">
      <alignment horizontal="center" vertical="center"/>
      <protection locked="0"/>
    </xf>
    <xf numFmtId="0" fontId="6" fillId="32" borderId="31" xfId="105" applyFont="1" applyFill="1" applyBorder="1" applyAlignment="1" applyProtection="1">
      <alignment horizontal="center" vertical="center"/>
      <protection locked="0"/>
    </xf>
    <xf numFmtId="0" fontId="6" fillId="32" borderId="12" xfId="105" applyFont="1" applyFill="1" applyBorder="1" applyAlignment="1" applyProtection="1">
      <alignment horizontal="center" vertical="center" wrapText="1"/>
      <protection locked="0"/>
    </xf>
    <xf numFmtId="0" fontId="6" fillId="32" borderId="30" xfId="105" applyFont="1" applyFill="1" applyBorder="1" applyAlignment="1" applyProtection="1">
      <alignment horizontal="center" vertical="center" wrapText="1"/>
      <protection locked="0"/>
    </xf>
    <xf numFmtId="0" fontId="6" fillId="32" borderId="23" xfId="105" applyFont="1" applyFill="1" applyBorder="1" applyAlignment="1" applyProtection="1">
      <alignment horizontal="center" vertical="center" wrapText="1"/>
      <protection locked="0"/>
    </xf>
    <xf numFmtId="0" fontId="6" fillId="32" borderId="50" xfId="105" applyFont="1" applyFill="1" applyBorder="1" applyAlignment="1" applyProtection="1">
      <alignment horizontal="center" vertical="center" wrapText="1"/>
      <protection locked="0"/>
    </xf>
    <xf numFmtId="0" fontId="6" fillId="32" borderId="48" xfId="105" applyFont="1" applyFill="1" applyBorder="1" applyAlignment="1" applyProtection="1">
      <alignment horizontal="center" vertical="center"/>
      <protection locked="0"/>
    </xf>
    <xf numFmtId="0" fontId="6" fillId="33" borderId="52" xfId="105" applyFont="1" applyFill="1" applyBorder="1" applyAlignment="1" applyProtection="1">
      <alignment horizontal="center" vertical="center" wrapText="1"/>
      <protection/>
    </xf>
    <xf numFmtId="0" fontId="6" fillId="33" borderId="58" xfId="105" applyFont="1" applyFill="1" applyBorder="1" applyAlignment="1" applyProtection="1">
      <alignment horizontal="center" vertical="center" wrapText="1"/>
      <protection/>
    </xf>
    <xf numFmtId="0" fontId="6" fillId="33" borderId="34" xfId="105" applyFont="1" applyFill="1" applyBorder="1" applyAlignment="1" applyProtection="1">
      <alignment horizontal="center" vertical="center" wrapText="1"/>
      <protection/>
    </xf>
    <xf numFmtId="0" fontId="75" fillId="33" borderId="30" xfId="105" applyFont="1" applyFill="1" applyBorder="1" applyAlignment="1" applyProtection="1">
      <alignment horizontal="center" vertical="center"/>
      <protection/>
    </xf>
    <xf numFmtId="0" fontId="75" fillId="33" borderId="50" xfId="105" applyFont="1" applyFill="1" applyBorder="1" applyAlignment="1" applyProtection="1">
      <alignment horizontal="center" vertical="center"/>
      <protection/>
    </xf>
    <xf numFmtId="0" fontId="6" fillId="32" borderId="12" xfId="105" applyFont="1" applyFill="1" applyBorder="1" applyAlignment="1" applyProtection="1" quotePrefix="1">
      <alignment horizontal="center" vertical="center" wrapText="1"/>
      <protection locked="0"/>
    </xf>
    <xf numFmtId="0" fontId="8" fillId="24" borderId="13" xfId="105" applyFont="1" applyFill="1" applyBorder="1" applyAlignment="1" applyProtection="1">
      <alignment horizontal="center" vertical="center"/>
      <protection/>
    </xf>
    <xf numFmtId="0" fontId="8" fillId="24" borderId="60" xfId="105" applyFont="1" applyFill="1" applyBorder="1" applyAlignment="1" applyProtection="1">
      <alignment horizontal="center" vertical="center"/>
      <protection/>
    </xf>
    <xf numFmtId="0" fontId="6" fillId="0" borderId="12" xfId="91" applyFont="1" applyFill="1" applyBorder="1" applyAlignment="1" applyProtection="1">
      <alignment vertical="center" wrapText="1"/>
      <protection locked="0"/>
    </xf>
    <xf numFmtId="0" fontId="6" fillId="0" borderId="21" xfId="105" applyNumberFormat="1" applyFont="1" applyFill="1" applyBorder="1" applyAlignment="1" applyProtection="1">
      <alignment horizontal="center" vertical="center"/>
      <protection locked="0"/>
    </xf>
    <xf numFmtId="0" fontId="6" fillId="0" borderId="23" xfId="91" applyFont="1" applyFill="1" applyBorder="1" applyAlignment="1" applyProtection="1">
      <alignment vertical="center" wrapText="1"/>
      <protection locked="0"/>
    </xf>
    <xf numFmtId="0" fontId="6" fillId="0" borderId="27" xfId="105" applyNumberFormat="1" applyFont="1" applyFill="1" applyBorder="1" applyAlignment="1" applyProtection="1">
      <alignment horizontal="center" vertical="center"/>
      <protection locked="0"/>
    </xf>
    <xf numFmtId="0" fontId="19" fillId="0" borderId="71" xfId="91" applyFont="1" applyFill="1" applyBorder="1" applyAlignment="1" applyProtection="1">
      <alignment vertical="center" wrapText="1"/>
      <protection locked="0"/>
    </xf>
    <xf numFmtId="0" fontId="6" fillId="32" borderId="29" xfId="105" applyNumberFormat="1" applyFont="1" applyFill="1" applyBorder="1" applyAlignment="1" applyProtection="1">
      <alignment horizontal="center" vertical="center"/>
      <protection locked="0"/>
    </xf>
    <xf numFmtId="0" fontId="6" fillId="0" borderId="20" xfId="105" applyFont="1" applyFill="1" applyBorder="1" applyAlignment="1" applyProtection="1">
      <alignment horizontal="center" vertical="center"/>
      <protection locked="0"/>
    </xf>
    <xf numFmtId="0" fontId="8" fillId="24" borderId="72" xfId="0" applyFont="1" applyFill="1" applyBorder="1" applyAlignment="1">
      <alignment horizontal="center" vertical="center"/>
    </xf>
    <xf numFmtId="0" fontId="8" fillId="24" borderId="73" xfId="121" applyFont="1" applyFill="1" applyBorder="1" applyAlignment="1" applyProtection="1">
      <alignment horizontal="center" vertical="center"/>
      <protection/>
    </xf>
    <xf numFmtId="0" fontId="8" fillId="24" borderId="54" xfId="121" applyFont="1" applyFill="1" applyBorder="1" applyAlignment="1" applyProtection="1">
      <alignment horizontal="center" vertical="center"/>
      <protection/>
    </xf>
    <xf numFmtId="0" fontId="16" fillId="0" borderId="0" xfId="0" applyFont="1" applyFill="1" applyBorder="1" applyAlignment="1">
      <alignment horizontal="center" vertical="center" wrapText="1"/>
    </xf>
    <xf numFmtId="49" fontId="7" fillId="0" borderId="45" xfId="0" applyNumberFormat="1" applyFont="1" applyFill="1" applyBorder="1" applyAlignment="1" applyProtection="1">
      <alignment horizontal="center" vertical="center" wrapText="1"/>
      <protection/>
    </xf>
    <xf numFmtId="0" fontId="19" fillId="0" borderId="53" xfId="91" applyFont="1" applyFill="1" applyBorder="1" applyAlignment="1" applyProtection="1">
      <alignment vertical="center" wrapText="1"/>
      <protection locked="0"/>
    </xf>
    <xf numFmtId="0" fontId="19" fillId="0" borderId="0" xfId="91" applyFont="1" applyFill="1" applyAlignment="1" applyProtection="1">
      <alignment vertical="center"/>
      <protection locked="0"/>
    </xf>
    <xf numFmtId="0" fontId="19" fillId="34" borderId="28" xfId="91" applyFont="1" applyFill="1" applyBorder="1" applyAlignment="1" applyProtection="1">
      <alignment horizontal="center" vertical="top" wrapText="1"/>
      <protection locked="0"/>
    </xf>
    <xf numFmtId="0" fontId="19" fillId="34" borderId="22" xfId="91" applyFont="1" applyFill="1" applyBorder="1" applyAlignment="1" applyProtection="1">
      <alignment horizontal="center" vertical="top" wrapText="1"/>
      <protection locked="0"/>
    </xf>
    <xf numFmtId="0" fontId="6" fillId="0" borderId="27" xfId="121" applyFont="1" applyFill="1" applyBorder="1" applyAlignment="1" applyProtection="1">
      <alignment horizontal="center" vertical="center"/>
      <protection locked="0"/>
    </xf>
    <xf numFmtId="0" fontId="6" fillId="0" borderId="43" xfId="0" applyFont="1" applyFill="1" applyBorder="1" applyAlignment="1" applyProtection="1">
      <alignment vertical="top" wrapText="1"/>
      <protection locked="0"/>
    </xf>
    <xf numFmtId="0" fontId="19" fillId="0" borderId="74" xfId="91" applyFont="1" applyFill="1" applyBorder="1" applyAlignment="1" applyProtection="1">
      <alignment horizontal="center" vertical="center" wrapText="1"/>
      <protection locked="0"/>
    </xf>
    <xf numFmtId="0" fontId="6" fillId="0" borderId="21" xfId="105" applyFont="1" applyFill="1" applyBorder="1" applyAlignment="1" applyProtection="1">
      <alignment horizontal="left" vertical="top" wrapText="1"/>
      <protection locked="0"/>
    </xf>
    <xf numFmtId="0" fontId="6" fillId="0" borderId="27" xfId="105"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wrapText="1"/>
      <protection/>
    </xf>
    <xf numFmtId="0" fontId="8" fillId="24" borderId="26" xfId="105" applyFont="1" applyFill="1" applyBorder="1" applyAlignment="1" applyProtection="1">
      <alignment horizontal="center" vertical="center"/>
      <protection/>
    </xf>
    <xf numFmtId="0" fontId="6" fillId="28" borderId="51" xfId="0" applyFont="1" applyFill="1" applyBorder="1" applyAlignment="1" applyProtection="1">
      <alignment horizontal="center" vertical="center" wrapText="1"/>
      <protection locked="0"/>
    </xf>
    <xf numFmtId="0" fontId="6" fillId="28" borderId="27" xfId="0" applyFont="1" applyFill="1" applyBorder="1" applyAlignment="1" applyProtection="1">
      <alignment horizontal="center" vertical="center" wrapText="1"/>
      <protection locked="0"/>
    </xf>
    <xf numFmtId="0" fontId="19" fillId="26" borderId="28" xfId="91" applyFont="1" applyFill="1" applyBorder="1" applyAlignment="1" applyProtection="1">
      <alignment horizontal="center" vertical="top" wrapText="1"/>
      <protection locked="0"/>
    </xf>
    <xf numFmtId="0" fontId="19" fillId="0" borderId="68" xfId="91" applyFont="1" applyFill="1" applyBorder="1" applyAlignment="1" applyProtection="1">
      <alignment vertical="center" wrapText="1"/>
      <protection locked="0"/>
    </xf>
    <xf numFmtId="0" fontId="28" fillId="0" borderId="0" xfId="0" applyFont="1" applyAlignment="1" applyProtection="1">
      <alignment vertical="center"/>
      <protection/>
    </xf>
    <xf numFmtId="0" fontId="0" fillId="0" borderId="0" xfId="106" applyFont="1" applyAlignment="1">
      <alignment horizontal="left"/>
      <protection/>
    </xf>
    <xf numFmtId="0" fontId="22" fillId="0" borderId="0" xfId="106" applyFont="1" applyAlignment="1">
      <alignment horizontal="left"/>
      <protection/>
    </xf>
    <xf numFmtId="0" fontId="6" fillId="0" borderId="26" xfId="105" applyFont="1" applyFill="1" applyBorder="1" applyAlignment="1" applyProtection="1">
      <alignment horizontal="left" vertical="center" wrapText="1"/>
      <protection/>
    </xf>
    <xf numFmtId="0" fontId="22" fillId="0" borderId="0" xfId="105" applyFont="1">
      <alignment/>
      <protection/>
    </xf>
    <xf numFmtId="0" fontId="53" fillId="35" borderId="0" xfId="113" applyFont="1" applyFill="1" applyAlignment="1" applyProtection="1">
      <alignment vertical="center"/>
      <protection/>
    </xf>
    <xf numFmtId="0" fontId="0" fillId="35" borderId="0" xfId="106" applyFill="1" applyAlignment="1">
      <alignment vertical="center"/>
      <protection/>
    </xf>
    <xf numFmtId="0" fontId="0" fillId="35" borderId="0" xfId="106" applyFill="1">
      <alignment/>
      <protection/>
    </xf>
    <xf numFmtId="0" fontId="0" fillId="0" borderId="0" xfId="106">
      <alignment/>
      <protection/>
    </xf>
    <xf numFmtId="0" fontId="76" fillId="0" borderId="0" xfId="106" applyFont="1">
      <alignment/>
      <protection/>
    </xf>
    <xf numFmtId="0" fontId="77" fillId="0" borderId="0" xfId="106" applyFont="1" applyAlignment="1">
      <alignment horizontal="left" indent="1"/>
      <protection/>
    </xf>
    <xf numFmtId="0" fontId="19" fillId="35" borderId="35" xfId="91" applyFont="1" applyFill="1" applyBorder="1" applyAlignment="1" applyProtection="1">
      <alignment vertical="center"/>
      <protection/>
    </xf>
    <xf numFmtId="0" fontId="78" fillId="36" borderId="10" xfId="0" applyFont="1" applyFill="1" applyBorder="1" applyAlignment="1">
      <alignment horizontal="center" vertical="center" wrapText="1"/>
    </xf>
    <xf numFmtId="0" fontId="78" fillId="36" borderId="75" xfId="0" applyFont="1" applyFill="1" applyBorder="1" applyAlignment="1">
      <alignment horizontal="center" vertical="center" wrapText="1"/>
    </xf>
    <xf numFmtId="0" fontId="78" fillId="37" borderId="76" xfId="0" applyFont="1" applyFill="1" applyBorder="1" applyAlignment="1">
      <alignment vertical="center" wrapText="1"/>
    </xf>
    <xf numFmtId="0" fontId="78" fillId="38" borderId="77" xfId="0" applyFont="1" applyFill="1" applyBorder="1" applyAlignment="1">
      <alignment horizontal="center" vertical="center" wrapText="1"/>
    </xf>
    <xf numFmtId="0" fontId="78" fillId="39" borderId="77" xfId="0" applyFont="1" applyFill="1" applyBorder="1" applyAlignment="1">
      <alignment horizontal="center" vertical="center" wrapText="1"/>
    </xf>
    <xf numFmtId="0" fontId="79" fillId="0" borderId="0" xfId="106" applyFont="1" applyAlignment="1">
      <alignment horizontal="left" indent="1"/>
      <protection/>
    </xf>
    <xf numFmtId="0" fontId="65" fillId="0" borderId="0" xfId="106" applyFont="1" applyAlignment="1">
      <alignment horizontal="left" indent="1"/>
      <protection/>
    </xf>
    <xf numFmtId="0" fontId="6" fillId="0" borderId="29" xfId="121" applyFont="1" applyFill="1" applyBorder="1" applyAlignment="1" applyProtection="1">
      <alignment vertical="center" wrapText="1"/>
      <protection/>
    </xf>
    <xf numFmtId="0" fontId="7" fillId="0" borderId="12" xfId="0" applyFont="1" applyFill="1" applyBorder="1" applyAlignment="1" applyProtection="1">
      <alignment vertical="center" wrapText="1"/>
      <protection/>
    </xf>
    <xf numFmtId="0" fontId="6" fillId="29" borderId="53" xfId="91" applyFont="1" applyFill="1" applyBorder="1" applyAlignment="1" applyProtection="1">
      <alignment vertical="center" wrapText="1"/>
      <protection locked="0"/>
    </xf>
    <xf numFmtId="0" fontId="7" fillId="7" borderId="38" xfId="0" applyFont="1" applyFill="1" applyBorder="1" applyAlignment="1">
      <alignment horizontal="center" vertical="center" wrapText="1"/>
    </xf>
    <xf numFmtId="0" fontId="6" fillId="0" borderId="12" xfId="91" applyFont="1" applyFill="1" applyBorder="1" applyAlignment="1" applyProtection="1">
      <alignment horizontal="center" vertical="center" wrapText="1"/>
      <protection/>
    </xf>
    <xf numFmtId="0" fontId="0" fillId="0" borderId="0" xfId="0" applyFont="1" applyAlignment="1">
      <alignment vertical="center"/>
    </xf>
    <xf numFmtId="0" fontId="22" fillId="0" borderId="0" xfId="106" applyFont="1">
      <alignment/>
      <protection/>
    </xf>
    <xf numFmtId="0" fontId="22" fillId="0" borderId="0" xfId="106" applyFont="1" applyFill="1">
      <alignment/>
      <protection/>
    </xf>
    <xf numFmtId="0" fontId="22" fillId="0" borderId="0" xfId="105" applyFont="1" applyAlignment="1">
      <alignment horizontal="left"/>
      <protection/>
    </xf>
    <xf numFmtId="0" fontId="67" fillId="0" borderId="0" xfId="105" applyFont="1">
      <alignment/>
      <protection/>
    </xf>
    <xf numFmtId="0" fontId="0" fillId="0" borderId="0" xfId="105" applyNumberFormat="1" applyFont="1">
      <alignment/>
      <protection/>
    </xf>
    <xf numFmtId="0" fontId="6" fillId="0" borderId="55" xfId="121" applyFont="1" applyFill="1" applyBorder="1" applyAlignment="1" applyProtection="1">
      <alignment horizontal="center" vertical="center"/>
      <protection locked="0"/>
    </xf>
    <xf numFmtId="0" fontId="6" fillId="28" borderId="21" xfId="121" applyFont="1" applyFill="1" applyBorder="1" applyAlignment="1" applyProtection="1">
      <alignment horizontal="center" vertical="center"/>
      <protection locked="0"/>
    </xf>
    <xf numFmtId="0" fontId="0" fillId="0" borderId="0" xfId="106" applyFont="1">
      <alignment/>
      <protection/>
    </xf>
    <xf numFmtId="0" fontId="0" fillId="0" borderId="0" xfId="106" applyFont="1" applyAlignment="1">
      <alignment wrapText="1"/>
      <protection/>
    </xf>
    <xf numFmtId="0" fontId="0" fillId="0" borderId="0" xfId="105" applyFont="1" applyAlignment="1">
      <alignment wrapText="1"/>
      <protection/>
    </xf>
    <xf numFmtId="0" fontId="0" fillId="0" borderId="0" xfId="105" applyFont="1">
      <alignment/>
      <protection/>
    </xf>
    <xf numFmtId="0" fontId="6" fillId="28" borderId="30" xfId="0" applyFont="1" applyFill="1" applyBorder="1" applyAlignment="1" applyProtection="1">
      <alignment horizontal="center" vertical="center" wrapText="1"/>
      <protection locked="0"/>
    </xf>
    <xf numFmtId="0" fontId="6" fillId="28" borderId="58" xfId="0" applyFont="1" applyFill="1" applyBorder="1" applyAlignment="1" applyProtection="1">
      <alignment horizontal="center" vertical="center" wrapText="1"/>
      <protection locked="0"/>
    </xf>
    <xf numFmtId="0" fontId="6" fillId="28" borderId="26" xfId="105" applyFont="1" applyFill="1" applyBorder="1" applyAlignment="1" applyProtection="1">
      <alignment horizontal="center" vertical="center" wrapText="1"/>
      <protection locked="0"/>
    </xf>
    <xf numFmtId="0" fontId="6" fillId="28" borderId="23" xfId="105" applyFont="1" applyFill="1" applyBorder="1" applyAlignment="1" applyProtection="1">
      <alignment horizontal="center" vertical="center" wrapText="1"/>
      <protection locked="0"/>
    </xf>
    <xf numFmtId="0" fontId="0" fillId="0" borderId="0" xfId="0" applyAlignment="1" applyProtection="1">
      <alignment/>
      <protection/>
    </xf>
    <xf numFmtId="0" fontId="6" fillId="0" borderId="0" xfId="105" applyFont="1" applyFill="1" applyBorder="1" applyAlignment="1" applyProtection="1">
      <alignment horizontal="left" vertical="center"/>
      <protection/>
    </xf>
    <xf numFmtId="0" fontId="6" fillId="0" borderId="53" xfId="0" applyFont="1" applyFill="1" applyBorder="1" applyAlignment="1" applyProtection="1">
      <alignment wrapText="1"/>
      <protection locked="0"/>
    </xf>
    <xf numFmtId="0" fontId="7" fillId="7" borderId="21" xfId="0" applyFont="1" applyFill="1" applyBorder="1" applyAlignment="1">
      <alignment horizontal="center" wrapText="1"/>
    </xf>
    <xf numFmtId="0" fontId="7" fillId="7" borderId="67" xfId="0" applyFont="1" applyFill="1" applyBorder="1" applyAlignment="1">
      <alignment horizontal="center" wrapText="1"/>
    </xf>
    <xf numFmtId="0" fontId="12" fillId="7" borderId="53" xfId="0" applyFont="1" applyFill="1" applyBorder="1" applyAlignment="1">
      <alignment vertical="top" wrapText="1"/>
    </xf>
    <xf numFmtId="0" fontId="8" fillId="24" borderId="14" xfId="119" applyFont="1" applyFill="1" applyBorder="1" applyAlignment="1" applyProtection="1">
      <alignment horizontal="center" vertical="center"/>
      <protection/>
    </xf>
    <xf numFmtId="0" fontId="6" fillId="0" borderId="30" xfId="119" applyFont="1" applyFill="1" applyBorder="1" applyAlignment="1" applyProtection="1">
      <alignment horizontal="center" vertical="center" wrapText="1"/>
      <protection locked="0"/>
    </xf>
    <xf numFmtId="0" fontId="6" fillId="0" borderId="12" xfId="119" applyFont="1" applyFill="1" applyBorder="1" applyAlignment="1" applyProtection="1">
      <alignment horizontal="center" vertical="center"/>
      <protection locked="0"/>
    </xf>
    <xf numFmtId="0" fontId="6" fillId="0" borderId="22" xfId="119" applyFont="1" applyFill="1" applyBorder="1" applyAlignment="1" applyProtection="1">
      <alignment horizontal="center" vertical="center"/>
      <protection locked="0"/>
    </xf>
    <xf numFmtId="0" fontId="6" fillId="0" borderId="34" xfId="119" applyFont="1" applyFill="1" applyBorder="1" applyAlignment="1" applyProtection="1">
      <alignment horizontal="center" vertical="center" wrapText="1"/>
      <protection locked="0"/>
    </xf>
    <xf numFmtId="0" fontId="6" fillId="0" borderId="28" xfId="119" applyFont="1" applyFill="1" applyBorder="1" applyAlignment="1" applyProtection="1">
      <alignment horizontal="center" vertical="center"/>
      <protection locked="0"/>
    </xf>
    <xf numFmtId="0" fontId="6" fillId="0" borderId="27" xfId="119" applyFont="1" applyFill="1" applyBorder="1" applyAlignment="1" applyProtection="1">
      <alignment horizontal="center" vertical="center"/>
      <protection locked="0"/>
    </xf>
    <xf numFmtId="0" fontId="6" fillId="0" borderId="53" xfId="0" applyFont="1" applyBorder="1" applyAlignment="1">
      <alignment vertical="center"/>
    </xf>
    <xf numFmtId="0" fontId="6" fillId="0" borderId="53" xfId="0" applyFont="1" applyBorder="1" applyAlignment="1" applyProtection="1">
      <alignment vertical="center"/>
      <protection/>
    </xf>
    <xf numFmtId="0" fontId="7" fillId="0" borderId="31" xfId="0" applyFont="1" applyFill="1" applyBorder="1" applyAlignment="1">
      <alignment vertical="center"/>
    </xf>
    <xf numFmtId="0" fontId="0" fillId="0" borderId="30" xfId="0" applyBorder="1" applyAlignment="1">
      <alignment/>
    </xf>
    <xf numFmtId="0" fontId="7" fillId="0" borderId="30" xfId="0" applyFont="1" applyFill="1" applyBorder="1" applyAlignment="1">
      <alignment vertical="center"/>
    </xf>
    <xf numFmtId="49" fontId="6" fillId="29" borderId="31" xfId="0" applyNumberFormat="1" applyFont="1" applyFill="1" applyBorder="1" applyAlignment="1" applyProtection="1">
      <alignment horizontal="center" vertical="center"/>
      <protection locked="0"/>
    </xf>
    <xf numFmtId="49" fontId="6" fillId="29" borderId="54" xfId="0" applyNumberFormat="1" applyFont="1" applyFill="1" applyBorder="1" applyAlignment="1" applyProtection="1">
      <alignment horizontal="center" vertical="center"/>
      <protection locked="0"/>
    </xf>
    <xf numFmtId="49" fontId="6" fillId="29" borderId="69" xfId="0" applyNumberFormat="1" applyFont="1" applyFill="1" applyBorder="1" applyAlignment="1" applyProtection="1">
      <alignment horizontal="center" vertical="center"/>
      <protection locked="0"/>
    </xf>
    <xf numFmtId="0" fontId="7" fillId="0" borderId="31" xfId="0" applyFont="1" applyFill="1" applyBorder="1" applyAlignment="1">
      <alignment vertical="center" wrapText="1"/>
    </xf>
    <xf numFmtId="0" fontId="0" fillId="0" borderId="30" xfId="0" applyBorder="1" applyAlignment="1">
      <alignment wrapText="1"/>
    </xf>
    <xf numFmtId="49" fontId="6" fillId="0" borderId="31" xfId="0" applyNumberFormat="1" applyFont="1" applyFill="1" applyBorder="1" applyAlignment="1" applyProtection="1">
      <alignment horizontal="center" vertical="center"/>
      <protection locked="0"/>
    </xf>
    <xf numFmtId="0" fontId="0" fillId="0" borderId="54" xfId="0" applyFont="1" applyBorder="1" applyAlignment="1" applyProtection="1">
      <alignment/>
      <protection locked="0"/>
    </xf>
    <xf numFmtId="0" fontId="0" fillId="0" borderId="69" xfId="0" applyFont="1" applyBorder="1" applyAlignment="1" applyProtection="1">
      <alignment/>
      <protection locked="0"/>
    </xf>
    <xf numFmtId="0" fontId="16" fillId="31" borderId="0" xfId="0" applyFont="1" applyFill="1" applyBorder="1" applyAlignment="1">
      <alignment horizontal="center" vertical="center" wrapText="1"/>
    </xf>
    <xf numFmtId="0" fontId="5" fillId="0" borderId="0" xfId="0" applyFont="1" applyAlignment="1">
      <alignment horizontal="center" vertical="center"/>
    </xf>
    <xf numFmtId="0" fontId="5" fillId="0" borderId="0" xfId="91" applyFont="1" applyFill="1" applyBorder="1" applyAlignment="1" applyProtection="1">
      <alignment horizontal="left" vertical="center"/>
      <protection locked="0"/>
    </xf>
    <xf numFmtId="0" fontId="5" fillId="0" borderId="78" xfId="0" applyFont="1" applyBorder="1" applyAlignment="1">
      <alignment horizontal="center" vertical="center" wrapText="1"/>
    </xf>
    <xf numFmtId="0" fontId="0" fillId="0" borderId="79" xfId="0" applyBorder="1" applyAlignment="1">
      <alignment/>
    </xf>
    <xf numFmtId="0" fontId="0" fillId="0" borderId="80" xfId="0" applyBorder="1" applyAlignment="1">
      <alignment/>
    </xf>
    <xf numFmtId="0" fontId="5" fillId="28" borderId="31" xfId="0" applyFont="1" applyFill="1" applyBorder="1" applyAlignment="1">
      <alignment horizontal="center" vertical="center"/>
    </xf>
    <xf numFmtId="0" fontId="5" fillId="28" borderId="54" xfId="0" applyFont="1" applyFill="1" applyBorder="1" applyAlignment="1">
      <alignment horizontal="center" vertical="center"/>
    </xf>
    <xf numFmtId="0" fontId="5" fillId="28" borderId="30" xfId="0" applyFont="1" applyFill="1" applyBorder="1" applyAlignment="1">
      <alignment horizontal="center" vertical="center"/>
    </xf>
    <xf numFmtId="0" fontId="5" fillId="0" borderId="81" xfId="0" applyFont="1" applyBorder="1" applyAlignment="1">
      <alignment horizontal="center" vertical="center" wrapText="1"/>
    </xf>
    <xf numFmtId="0" fontId="0" fillId="0" borderId="81" xfId="0" applyBorder="1" applyAlignment="1">
      <alignment/>
    </xf>
    <xf numFmtId="0" fontId="0" fillId="0" borderId="0" xfId="0" applyAlignment="1">
      <alignment/>
    </xf>
    <xf numFmtId="0" fontId="5" fillId="0" borderId="0" xfId="0" applyFont="1" applyFill="1" applyBorder="1" applyAlignment="1">
      <alignment horizontal="left" vertical="center" wrapText="1"/>
    </xf>
    <xf numFmtId="0" fontId="5" fillId="0" borderId="0" xfId="91" applyFont="1" applyFill="1" applyBorder="1" applyAlignment="1" applyProtection="1">
      <alignment horizontal="left" vertical="center" wrapText="1"/>
      <protection locked="0"/>
    </xf>
    <xf numFmtId="49" fontId="6" fillId="28" borderId="11" xfId="0" applyNumberFormat="1" applyFont="1" applyFill="1" applyBorder="1" applyAlignment="1" applyProtection="1">
      <alignment horizontal="center" vertical="center"/>
      <protection locked="0"/>
    </xf>
    <xf numFmtId="0" fontId="0" fillId="28" borderId="75" xfId="0" applyFill="1" applyBorder="1" applyAlignment="1" applyProtection="1">
      <alignment/>
      <protection locked="0"/>
    </xf>
    <xf numFmtId="0" fontId="0" fillId="0" borderId="34" xfId="0" applyBorder="1" applyAlignment="1">
      <alignment/>
    </xf>
    <xf numFmtId="1" fontId="6" fillId="0" borderId="48" xfId="91" applyNumberFormat="1" applyFont="1" applyFill="1" applyBorder="1" applyAlignment="1" applyProtection="1">
      <alignment horizontal="center" vertical="center"/>
      <protection locked="0"/>
    </xf>
    <xf numFmtId="0" fontId="0" fillId="0" borderId="73" xfId="91" applyFont="1" applyBorder="1" applyAlignment="1" applyProtection="1">
      <alignment/>
      <protection locked="0"/>
    </xf>
    <xf numFmtId="0" fontId="0" fillId="0" borderId="82" xfId="91" applyFont="1" applyBorder="1" applyAlignment="1" applyProtection="1">
      <alignment/>
      <protection locked="0"/>
    </xf>
    <xf numFmtId="49" fontId="6" fillId="0" borderId="29" xfId="0" applyNumberFormat="1" applyFont="1" applyFill="1" applyBorder="1" applyAlignment="1" applyProtection="1">
      <alignment horizontal="center" vertical="center" wrapText="1"/>
      <protection locked="0"/>
    </xf>
    <xf numFmtId="0" fontId="0" fillId="0" borderId="39" xfId="0" applyFont="1" applyBorder="1" applyAlignment="1" applyProtection="1">
      <alignment/>
      <protection locked="0"/>
    </xf>
    <xf numFmtId="0" fontId="0" fillId="0" borderId="38" xfId="0" applyFont="1" applyBorder="1" applyAlignment="1" applyProtection="1">
      <alignment/>
      <protection locked="0"/>
    </xf>
    <xf numFmtId="0" fontId="16" fillId="30" borderId="0" xfId="0" applyFont="1" applyFill="1" applyAlignment="1" applyProtection="1">
      <alignment horizontal="center" vertical="center"/>
      <protection/>
    </xf>
    <xf numFmtId="0" fontId="6" fillId="24" borderId="16" xfId="0" applyFont="1" applyFill="1" applyBorder="1" applyAlignment="1">
      <alignment horizontal="center" vertical="center"/>
    </xf>
    <xf numFmtId="0" fontId="6" fillId="24" borderId="17" xfId="0" applyFont="1" applyFill="1" applyBorder="1" applyAlignment="1">
      <alignment horizontal="center" vertical="center"/>
    </xf>
    <xf numFmtId="0" fontId="7" fillId="0" borderId="30" xfId="0" applyFont="1" applyFill="1" applyBorder="1" applyAlignment="1">
      <alignment vertical="center" wrapText="1"/>
    </xf>
    <xf numFmtId="0" fontId="7" fillId="7" borderId="24" xfId="0" applyFont="1" applyFill="1" applyBorder="1" applyAlignment="1">
      <alignment horizontal="center" vertical="center"/>
    </xf>
    <xf numFmtId="0" fontId="7" fillId="7" borderId="52" xfId="0" applyFont="1" applyFill="1" applyBorder="1" applyAlignment="1">
      <alignment horizontal="center" vertical="center"/>
    </xf>
    <xf numFmtId="0" fontId="7" fillId="7" borderId="45" xfId="0" applyFont="1" applyFill="1" applyBorder="1" applyAlignment="1">
      <alignment horizontal="center" vertical="center"/>
    </xf>
    <xf numFmtId="0" fontId="7" fillId="7" borderId="58" xfId="0" applyFont="1" applyFill="1" applyBorder="1" applyAlignment="1">
      <alignment horizontal="center" vertical="center"/>
    </xf>
    <xf numFmtId="0" fontId="7" fillId="7" borderId="61" xfId="0" applyFont="1" applyFill="1" applyBorder="1" applyAlignment="1">
      <alignment horizontal="center" vertical="center"/>
    </xf>
    <xf numFmtId="0" fontId="7" fillId="7" borderId="34" xfId="0" applyFont="1" applyFill="1" applyBorder="1" applyAlignment="1">
      <alignment horizontal="center" vertical="center"/>
    </xf>
    <xf numFmtId="0" fontId="7" fillId="7" borderId="83" xfId="0" applyFont="1" applyFill="1" applyBorder="1" applyAlignment="1">
      <alignment horizontal="center" wrapText="1"/>
    </xf>
    <xf numFmtId="0" fontId="7" fillId="7" borderId="84" xfId="0" applyFont="1" applyFill="1" applyBorder="1" applyAlignment="1">
      <alignment horizontal="center" wrapText="1"/>
    </xf>
    <xf numFmtId="0" fontId="7" fillId="0" borderId="31" xfId="119" applyFont="1" applyFill="1" applyBorder="1" applyAlignment="1" applyProtection="1">
      <alignment vertical="center" wrapText="1"/>
      <protection/>
    </xf>
    <xf numFmtId="0" fontId="7" fillId="0" borderId="30" xfId="119" applyFont="1" applyFill="1" applyBorder="1" applyAlignment="1" applyProtection="1">
      <alignment vertical="center" wrapText="1"/>
      <protection/>
    </xf>
    <xf numFmtId="0" fontId="7" fillId="0" borderId="48" xfId="0" applyFont="1" applyFill="1" applyBorder="1" applyAlignment="1">
      <alignment vertical="center" wrapText="1"/>
    </xf>
    <xf numFmtId="0" fontId="7" fillId="0" borderId="50" xfId="0" applyFont="1" applyFill="1" applyBorder="1" applyAlignment="1">
      <alignment vertical="center" wrapText="1"/>
    </xf>
    <xf numFmtId="0" fontId="6" fillId="0" borderId="0" xfId="0" applyFont="1" applyFill="1" applyBorder="1" applyAlignment="1" applyProtection="1">
      <alignment horizontal="center" vertical="center" wrapText="1"/>
      <protection/>
    </xf>
    <xf numFmtId="0" fontId="8" fillId="24" borderId="60" xfId="0" applyFont="1" applyFill="1" applyBorder="1" applyAlignment="1">
      <alignment horizontal="center" vertical="center"/>
    </xf>
    <xf numFmtId="0" fontId="8" fillId="24" borderId="37" xfId="0" applyFont="1" applyFill="1" applyBorder="1" applyAlignment="1">
      <alignment horizontal="center" vertical="center"/>
    </xf>
    <xf numFmtId="0" fontId="8" fillId="24" borderId="72" xfId="0" applyFont="1" applyFill="1" applyBorder="1" applyAlignment="1">
      <alignment horizontal="center" vertical="center"/>
    </xf>
    <xf numFmtId="0" fontId="8" fillId="24" borderId="33" xfId="0" applyFont="1" applyFill="1" applyBorder="1" applyAlignment="1">
      <alignment horizontal="center" vertical="center"/>
    </xf>
    <xf numFmtId="0" fontId="19" fillId="0" borderId="85" xfId="91" applyFont="1" applyBorder="1" applyAlignment="1" applyProtection="1">
      <alignment horizontal="center" vertical="center"/>
      <protection locked="0"/>
    </xf>
    <xf numFmtId="0" fontId="19" fillId="0" borderId="66" xfId="91" applyFont="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85"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0" fontId="6" fillId="0" borderId="48" xfId="0" applyFont="1" applyFill="1" applyBorder="1" applyAlignment="1" applyProtection="1">
      <alignment horizontal="left" vertical="center"/>
      <protection/>
    </xf>
    <xf numFmtId="0" fontId="6" fillId="0" borderId="73" xfId="0" applyFont="1" applyFill="1" applyBorder="1" applyAlignment="1" applyProtection="1">
      <alignment horizontal="left" vertical="center"/>
      <protection/>
    </xf>
    <xf numFmtId="0" fontId="6" fillId="0" borderId="5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6" fillId="0" borderId="31" xfId="0" applyFont="1" applyFill="1" applyBorder="1" applyAlignment="1" applyProtection="1">
      <alignment horizontal="left" vertical="center"/>
      <protection/>
    </xf>
    <xf numFmtId="0" fontId="6" fillId="0" borderId="54" xfId="0" applyFont="1" applyFill="1" applyBorder="1" applyAlignment="1" applyProtection="1">
      <alignment horizontal="left" vertical="center"/>
      <protection/>
    </xf>
    <xf numFmtId="0" fontId="6" fillId="0" borderId="30" xfId="0" applyFont="1" applyFill="1" applyBorder="1" applyAlignment="1" applyProtection="1">
      <alignment horizontal="left" vertical="center"/>
      <protection/>
    </xf>
    <xf numFmtId="0" fontId="7" fillId="7" borderId="24" xfId="0" applyFont="1" applyFill="1" applyBorder="1" applyAlignment="1">
      <alignment horizontal="center" vertical="center" wrapText="1"/>
    </xf>
    <xf numFmtId="0" fontId="7" fillId="7" borderId="40"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vertical="center" wrapText="1"/>
      <protection/>
    </xf>
    <xf numFmtId="0" fontId="6" fillId="28" borderId="26" xfId="0" applyFont="1" applyFill="1" applyBorder="1" applyAlignment="1" applyProtection="1">
      <alignment horizontal="center" vertical="center" wrapText="1"/>
      <protection locked="0"/>
    </xf>
    <xf numFmtId="0" fontId="6" fillId="28" borderId="28"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7" fillId="34" borderId="44" xfId="0" applyFont="1" applyFill="1" applyBorder="1" applyAlignment="1">
      <alignment horizontal="center" vertical="center" wrapText="1"/>
    </xf>
    <xf numFmtId="0" fontId="7" fillId="7" borderId="43" xfId="0" applyFont="1" applyFill="1" applyBorder="1" applyAlignment="1">
      <alignment horizontal="center" vertical="center" wrapText="1"/>
    </xf>
    <xf numFmtId="0" fontId="16" fillId="30" borderId="54" xfId="0" applyFont="1" applyFill="1" applyBorder="1" applyAlignment="1">
      <alignment horizontal="center" vertical="center"/>
    </xf>
    <xf numFmtId="0" fontId="16" fillId="30" borderId="69" xfId="0" applyFont="1" applyFill="1" applyBorder="1" applyAlignment="1">
      <alignment horizontal="center" vertical="center"/>
    </xf>
    <xf numFmtId="0" fontId="7" fillId="0" borderId="26"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0" xfId="0" applyFont="1" applyFill="1" applyBorder="1" applyAlignment="1">
      <alignment horizontal="center" wrapText="1"/>
    </xf>
    <xf numFmtId="0" fontId="19" fillId="7" borderId="61" xfId="91" applyFont="1" applyFill="1" applyBorder="1" applyAlignment="1" applyProtection="1">
      <alignment horizontal="center" vertical="top" wrapText="1"/>
      <protection locked="0"/>
    </xf>
    <xf numFmtId="0" fontId="19" fillId="7" borderId="35" xfId="0" applyFont="1" applyFill="1" applyBorder="1" applyAlignment="1" applyProtection="1">
      <alignment horizontal="center" vertical="top" wrapText="1"/>
      <protection locked="0"/>
    </xf>
    <xf numFmtId="0" fontId="19" fillId="7" borderId="34" xfId="0" applyFont="1" applyFill="1" applyBorder="1" applyAlignment="1" applyProtection="1">
      <alignment horizontal="center" vertical="top" wrapText="1"/>
      <protection locked="0"/>
    </xf>
    <xf numFmtId="0" fontId="7" fillId="34" borderId="25" xfId="0" applyFont="1" applyFill="1" applyBorder="1" applyAlignment="1">
      <alignment horizontal="center" vertical="center" wrapText="1"/>
    </xf>
    <xf numFmtId="0" fontId="7" fillId="7" borderId="53" xfId="0" applyFont="1" applyFill="1" applyBorder="1" applyAlignment="1">
      <alignment horizontal="center" vertical="center" wrapText="1"/>
    </xf>
    <xf numFmtId="0" fontId="7" fillId="7" borderId="58" xfId="0" applyFont="1" applyFill="1" applyBorder="1" applyAlignment="1">
      <alignment horizontal="center" vertical="center" wrapText="1"/>
    </xf>
    <xf numFmtId="0" fontId="7" fillId="7" borderId="61"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19" fillId="0" borderId="0" xfId="91" applyFont="1" applyAlignment="1" applyProtection="1">
      <alignment vertical="center"/>
      <protection/>
    </xf>
    <xf numFmtId="49" fontId="6" fillId="0" borderId="26" xfId="0" applyNumberFormat="1" applyFont="1" applyBorder="1" applyAlignment="1" applyProtection="1">
      <alignment horizontal="center" vertical="center" wrapText="1"/>
      <protection locked="0"/>
    </xf>
    <xf numFmtId="49" fontId="6" fillId="0" borderId="34" xfId="0" applyNumberFormat="1" applyFont="1" applyBorder="1" applyAlignment="1" applyProtection="1">
      <alignment horizontal="center" vertical="center" wrapText="1"/>
      <protection locked="0"/>
    </xf>
    <xf numFmtId="49" fontId="6" fillId="0" borderId="28" xfId="0" applyNumberFormat="1" applyFont="1" applyBorder="1" applyAlignment="1" applyProtection="1">
      <alignment horizontal="center" vertical="center" wrapText="1"/>
      <protection locked="0"/>
    </xf>
    <xf numFmtId="0" fontId="7" fillId="0" borderId="51" xfId="0" applyFont="1" applyFill="1" applyBorder="1" applyAlignment="1">
      <alignment vertical="center" wrapText="1"/>
    </xf>
    <xf numFmtId="0" fontId="7" fillId="0" borderId="61" xfId="0" applyFont="1" applyFill="1" applyBorder="1" applyAlignment="1">
      <alignment vertical="center" wrapText="1"/>
    </xf>
    <xf numFmtId="49" fontId="6" fillId="0" borderId="55"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xf>
    <xf numFmtId="49" fontId="6" fillId="0" borderId="26" xfId="0" applyNumberFormat="1" applyFont="1" applyFill="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wrapText="1"/>
      <protection locked="0"/>
    </xf>
    <xf numFmtId="49" fontId="80" fillId="0" borderId="55" xfId="0" applyNumberFormat="1" applyFont="1" applyFill="1" applyBorder="1" applyAlignment="1" applyProtection="1">
      <alignment horizontal="center" vertical="center" wrapText="1"/>
      <protection locked="0"/>
    </xf>
    <xf numFmtId="49" fontId="80" fillId="0" borderId="22" xfId="0" applyNumberFormat="1" applyFont="1" applyFill="1" applyBorder="1" applyAlignment="1" applyProtection="1">
      <alignment horizontal="center" vertical="center" wrapText="1"/>
      <protection locked="0"/>
    </xf>
    <xf numFmtId="0" fontId="6" fillId="0" borderId="31" xfId="0" applyFont="1" applyFill="1" applyBorder="1" applyAlignment="1" applyProtection="1">
      <alignment vertical="center" wrapText="1"/>
      <protection locked="0"/>
    </xf>
    <xf numFmtId="0" fontId="6" fillId="0" borderId="30" xfId="0" applyFont="1" applyFill="1" applyBorder="1" applyAlignment="1" applyProtection="1">
      <alignment vertical="center" wrapText="1"/>
      <protection locked="0"/>
    </xf>
    <xf numFmtId="0" fontId="8" fillId="24" borderId="86" xfId="0" applyFont="1" applyFill="1" applyBorder="1" applyAlignment="1">
      <alignment horizontal="center" vertical="center"/>
    </xf>
    <xf numFmtId="0" fontId="7" fillId="7" borderId="25" xfId="0" applyFont="1" applyFill="1" applyBorder="1" applyAlignment="1" applyProtection="1">
      <alignment horizontal="center" vertical="center"/>
      <protection/>
    </xf>
    <xf numFmtId="0" fontId="7" fillId="7" borderId="53" xfId="0" applyFont="1" applyFill="1" applyBorder="1" applyAlignment="1" applyProtection="1">
      <alignment horizontal="center" vertical="center"/>
      <protection/>
    </xf>
    <xf numFmtId="0" fontId="7" fillId="7" borderId="74" xfId="0" applyFont="1" applyFill="1" applyBorder="1" applyAlignment="1" applyProtection="1">
      <alignment horizontal="center" vertical="center"/>
      <protection/>
    </xf>
    <xf numFmtId="0" fontId="6" fillId="0" borderId="48" xfId="0" applyFont="1" applyFill="1" applyBorder="1" applyAlignment="1" applyProtection="1">
      <alignment vertical="center" wrapText="1"/>
      <protection locked="0"/>
    </xf>
    <xf numFmtId="0" fontId="6" fillId="0" borderId="50" xfId="0" applyFont="1" applyFill="1" applyBorder="1" applyAlignment="1" applyProtection="1">
      <alignment vertical="center" wrapText="1"/>
      <protection locked="0"/>
    </xf>
    <xf numFmtId="0" fontId="8" fillId="24" borderId="60" xfId="0" applyFont="1" applyFill="1" applyBorder="1" applyAlignment="1">
      <alignment horizontal="center" vertical="center" wrapText="1"/>
    </xf>
    <xf numFmtId="0" fontId="8" fillId="24" borderId="33"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8" xfId="0" applyFont="1" applyFill="1" applyBorder="1" applyAlignment="1">
      <alignment vertical="center" wrapText="1"/>
    </xf>
    <xf numFmtId="0" fontId="6" fillId="0" borderId="61" xfId="0" applyFont="1" applyFill="1" applyBorder="1" applyAlignment="1" applyProtection="1">
      <alignment vertical="center" wrapText="1"/>
      <protection locked="0"/>
    </xf>
    <xf numFmtId="0" fontId="6" fillId="0" borderId="34" xfId="0" applyFont="1" applyFill="1" applyBorder="1" applyAlignment="1" applyProtection="1">
      <alignment vertical="center" wrapText="1"/>
      <protection locked="0"/>
    </xf>
    <xf numFmtId="0" fontId="6" fillId="0" borderId="51" xfId="0" applyFont="1" applyFill="1" applyBorder="1" applyAlignment="1" applyProtection="1">
      <alignment horizontal="left" vertical="center" wrapText="1"/>
      <protection/>
    </xf>
    <xf numFmtId="0" fontId="6" fillId="0" borderId="59" xfId="0" applyFont="1" applyFill="1" applyBorder="1" applyAlignment="1" applyProtection="1">
      <alignment horizontal="left" vertical="center" wrapText="1"/>
      <protection/>
    </xf>
    <xf numFmtId="0" fontId="7" fillId="0" borderId="34" xfId="0" applyFont="1" applyFill="1" applyBorder="1" applyAlignment="1">
      <alignment vertical="center" wrapText="1"/>
    </xf>
    <xf numFmtId="49" fontId="6" fillId="0" borderId="55" xfId="0" applyNumberFormat="1" applyFont="1" applyFill="1" applyBorder="1" applyAlignment="1" applyProtection="1">
      <alignment horizontal="center" vertical="center" wrapText="1"/>
      <protection locked="0"/>
    </xf>
    <xf numFmtId="49" fontId="6" fillId="0" borderId="22" xfId="0" applyNumberFormat="1" applyFont="1" applyFill="1" applyBorder="1" applyAlignment="1" applyProtection="1">
      <alignment horizontal="center" vertical="center" wrapText="1"/>
      <protection locked="0"/>
    </xf>
    <xf numFmtId="0" fontId="7" fillId="7" borderId="29" xfId="0" applyFont="1" applyFill="1" applyBorder="1" applyAlignment="1">
      <alignment horizontal="center" vertical="center" wrapText="1"/>
    </xf>
    <xf numFmtId="0" fontId="7" fillId="7" borderId="39" xfId="0" applyFont="1" applyFill="1" applyBorder="1" applyAlignment="1">
      <alignment horizontal="center" vertical="center" wrapText="1"/>
    </xf>
    <xf numFmtId="0" fontId="7" fillId="7" borderId="49" xfId="0" applyFont="1" applyFill="1" applyBorder="1" applyAlignment="1">
      <alignment horizontal="center" vertical="center" wrapText="1"/>
    </xf>
    <xf numFmtId="0" fontId="6" fillId="0" borderId="31" xfId="0" applyFont="1" applyFill="1" applyBorder="1" applyAlignment="1" applyProtection="1">
      <alignment horizontal="left" vertical="center" wrapText="1"/>
      <protection/>
    </xf>
    <xf numFmtId="0" fontId="6" fillId="0" borderId="54" xfId="0" applyFont="1" applyFill="1" applyBorder="1" applyAlignment="1" applyProtection="1">
      <alignment horizontal="left" vertical="center" wrapText="1"/>
      <protection/>
    </xf>
    <xf numFmtId="0" fontId="6" fillId="0" borderId="45"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19" fillId="0" borderId="61" xfId="91" applyFont="1" applyBorder="1" applyAlignment="1" applyProtection="1">
      <alignment horizontal="center" vertical="center"/>
      <protection locked="0"/>
    </xf>
    <xf numFmtId="0" fontId="19" fillId="0" borderId="35" xfId="91" applyFont="1" applyBorder="1" applyAlignment="1" applyProtection="1">
      <alignment horizontal="center" vertical="center"/>
      <protection locked="0"/>
    </xf>
    <xf numFmtId="0" fontId="6" fillId="0" borderId="30" xfId="0" applyFont="1" applyFill="1" applyBorder="1" applyAlignment="1" applyProtection="1">
      <alignment horizontal="left" vertical="center" wrapText="1"/>
      <protection/>
    </xf>
    <xf numFmtId="0" fontId="7" fillId="34" borderId="25" xfId="105" applyFont="1" applyFill="1" applyBorder="1" applyAlignment="1" applyProtection="1">
      <alignment horizontal="center" vertical="center" wrapText="1"/>
      <protection/>
    </xf>
    <xf numFmtId="0" fontId="7" fillId="34" borderId="53" xfId="105" applyFont="1" applyFill="1" applyBorder="1" applyAlignment="1" applyProtection="1">
      <alignment horizontal="center" vertical="center" wrapText="1"/>
      <protection/>
    </xf>
    <xf numFmtId="0" fontId="74" fillId="0" borderId="35" xfId="105" applyFont="1" applyFill="1" applyBorder="1" applyAlignment="1" applyProtection="1">
      <alignment horizontal="center" vertical="top" wrapText="1"/>
      <protection/>
    </xf>
    <xf numFmtId="0" fontId="74" fillId="0" borderId="34" xfId="105" applyFont="1" applyFill="1" applyBorder="1" applyAlignment="1" applyProtection="1">
      <alignment horizontal="center" vertical="top" wrapText="1"/>
      <protection/>
    </xf>
    <xf numFmtId="0" fontId="74" fillId="0" borderId="61" xfId="105" applyFont="1" applyFill="1" applyBorder="1" applyAlignment="1" applyProtection="1">
      <alignment horizontal="center" vertical="top" wrapText="1"/>
      <protection/>
    </xf>
    <xf numFmtId="0" fontId="74" fillId="0" borderId="36" xfId="105" applyFont="1" applyFill="1" applyBorder="1" applyAlignment="1" applyProtection="1">
      <alignment horizontal="center" vertical="top" wrapText="1"/>
      <protection/>
    </xf>
    <xf numFmtId="0" fontId="16" fillId="30" borderId="24" xfId="105" applyFont="1" applyFill="1" applyBorder="1" applyAlignment="1" applyProtection="1">
      <alignment horizontal="center" vertical="center" wrapText="1"/>
      <protection/>
    </xf>
    <xf numFmtId="0" fontId="16" fillId="30" borderId="40" xfId="105" applyFont="1" applyFill="1" applyBorder="1" applyAlignment="1" applyProtection="1">
      <alignment horizontal="center" vertical="center" wrapText="1"/>
      <protection/>
    </xf>
    <xf numFmtId="0" fontId="16" fillId="30" borderId="41" xfId="105" applyFont="1" applyFill="1" applyBorder="1" applyAlignment="1" applyProtection="1">
      <alignment horizontal="center" vertical="center" wrapText="1"/>
      <protection/>
    </xf>
    <xf numFmtId="0" fontId="16" fillId="30" borderId="0" xfId="105" applyFont="1" applyFill="1" applyBorder="1" applyAlignment="1" applyProtection="1">
      <alignment horizontal="center" vertical="center" wrapText="1"/>
      <protection/>
    </xf>
    <xf numFmtId="0" fontId="74" fillId="0" borderId="0" xfId="91" applyFont="1" applyFill="1" applyBorder="1" applyAlignment="1" applyProtection="1">
      <alignment horizontal="center" vertical="center" wrapText="1"/>
      <protection/>
    </xf>
    <xf numFmtId="0" fontId="74" fillId="0" borderId="32" xfId="91" applyFont="1" applyFill="1" applyBorder="1" applyAlignment="1" applyProtection="1">
      <alignment horizontal="center" vertical="center" wrapText="1"/>
      <protection/>
    </xf>
    <xf numFmtId="0" fontId="16" fillId="30" borderId="52" xfId="105" applyFont="1" applyFill="1" applyBorder="1" applyAlignment="1" applyProtection="1">
      <alignment horizontal="center" vertical="center" wrapText="1"/>
      <protection/>
    </xf>
    <xf numFmtId="0" fontId="7" fillId="34" borderId="44" xfId="105" applyFont="1" applyFill="1" applyBorder="1" applyAlignment="1" applyProtection="1">
      <alignment horizontal="center" vertical="center" wrapText="1"/>
      <protection/>
    </xf>
    <xf numFmtId="0" fontId="7" fillId="34" borderId="43" xfId="105" applyFont="1" applyFill="1" applyBorder="1" applyAlignment="1" applyProtection="1">
      <alignment horizontal="center" vertical="center" wrapText="1"/>
      <protection/>
    </xf>
    <xf numFmtId="0" fontId="6" fillId="28" borderId="29" xfId="0" applyFont="1" applyFill="1" applyBorder="1" applyAlignment="1" applyProtection="1">
      <alignment horizontal="center" vertical="center"/>
      <protection locked="0"/>
    </xf>
    <xf numFmtId="0" fontId="6" fillId="28" borderId="38" xfId="0" applyFont="1" applyFill="1" applyBorder="1" applyAlignment="1" applyProtection="1">
      <alignment horizontal="center" vertical="center"/>
      <protection locked="0"/>
    </xf>
    <xf numFmtId="0" fontId="6" fillId="0" borderId="87" xfId="0" applyFont="1" applyFill="1" applyBorder="1" applyAlignment="1">
      <alignment vertical="center"/>
    </xf>
    <xf numFmtId="0" fontId="6" fillId="0" borderId="88" xfId="0" applyFont="1" applyFill="1" applyBorder="1" applyAlignment="1">
      <alignment vertical="center"/>
    </xf>
    <xf numFmtId="0" fontId="6" fillId="28" borderId="12" xfId="0" applyFont="1" applyFill="1" applyBorder="1" applyAlignment="1" applyProtection="1">
      <alignment horizontal="center" vertical="center" wrapText="1"/>
      <protection locked="0"/>
    </xf>
    <xf numFmtId="0" fontId="6" fillId="28" borderId="21" xfId="0" applyFont="1" applyFill="1" applyBorder="1" applyAlignment="1" applyProtection="1">
      <alignment horizontal="center" vertical="center" wrapText="1"/>
      <protection locked="0"/>
    </xf>
    <xf numFmtId="0" fontId="58" fillId="0" borderId="0" xfId="91" applyFont="1" applyAlignment="1" applyProtection="1">
      <alignment wrapText="1"/>
      <protection locked="0"/>
    </xf>
    <xf numFmtId="0" fontId="58" fillId="0" borderId="0" xfId="0" applyFont="1" applyAlignment="1" applyProtection="1">
      <alignment/>
      <protection locked="0"/>
    </xf>
    <xf numFmtId="0" fontId="16" fillId="30" borderId="0" xfId="0" applyFont="1" applyFill="1" applyAlignment="1" applyProtection="1">
      <alignment horizontal="center" vertical="center" wrapText="1"/>
      <protection/>
    </xf>
    <xf numFmtId="0" fontId="6" fillId="28" borderId="23" xfId="0" applyFont="1" applyFill="1" applyBorder="1" applyAlignment="1" applyProtection="1">
      <alignment horizontal="center" vertical="center"/>
      <protection locked="0"/>
    </xf>
    <xf numFmtId="0" fontId="6" fillId="28" borderId="27" xfId="0" applyFont="1" applyFill="1" applyBorder="1" applyAlignment="1" applyProtection="1">
      <alignment horizontal="center" vertical="center"/>
      <protection locked="0"/>
    </xf>
    <xf numFmtId="0" fontId="6" fillId="0" borderId="23" xfId="0" applyFont="1" applyFill="1" applyBorder="1" applyAlignment="1">
      <alignment horizontal="left" vertical="center" wrapText="1"/>
    </xf>
    <xf numFmtId="0" fontId="10" fillId="0" borderId="61" xfId="0" applyFont="1" applyFill="1" applyBorder="1" applyAlignment="1" applyProtection="1">
      <alignment vertical="center" wrapText="1"/>
      <protection/>
    </xf>
    <xf numFmtId="0" fontId="10" fillId="0" borderId="35" xfId="0" applyFont="1" applyFill="1" applyBorder="1" applyAlignment="1" applyProtection="1">
      <alignment vertical="center" wrapText="1"/>
      <protection/>
    </xf>
    <xf numFmtId="0" fontId="10" fillId="0" borderId="34" xfId="0" applyFont="1" applyFill="1" applyBorder="1" applyAlignment="1" applyProtection="1">
      <alignment vertical="center" wrapText="1"/>
      <protection/>
    </xf>
    <xf numFmtId="0" fontId="6" fillId="0" borderId="19" xfId="0" applyFont="1" applyFill="1" applyBorder="1" applyAlignment="1">
      <alignment horizontal="left" vertical="center"/>
    </xf>
    <xf numFmtId="0" fontId="6" fillId="0" borderId="89" xfId="0" applyFont="1" applyFill="1" applyBorder="1" applyAlignment="1">
      <alignment vertical="center"/>
    </xf>
    <xf numFmtId="0" fontId="6" fillId="0" borderId="90" xfId="0" applyFont="1" applyFill="1" applyBorder="1" applyAlignment="1">
      <alignment vertical="center"/>
    </xf>
    <xf numFmtId="0" fontId="6" fillId="0" borderId="91" xfId="0" applyFont="1" applyFill="1" applyBorder="1" applyAlignment="1">
      <alignment vertical="center"/>
    </xf>
    <xf numFmtId="0" fontId="6" fillId="0" borderId="92" xfId="0" applyFont="1" applyFill="1" applyBorder="1" applyAlignment="1">
      <alignment vertical="center"/>
    </xf>
    <xf numFmtId="0" fontId="6" fillId="0" borderId="31" xfId="0" applyFont="1" applyFill="1" applyBorder="1" applyAlignment="1">
      <alignment vertical="center"/>
    </xf>
    <xf numFmtId="0" fontId="6" fillId="0" borderId="54" xfId="0" applyFont="1" applyFill="1" applyBorder="1" applyAlignment="1">
      <alignment vertical="center"/>
    </xf>
    <xf numFmtId="0" fontId="6" fillId="0" borderId="69" xfId="0" applyFont="1" applyFill="1" applyBorder="1" applyAlignment="1">
      <alignment vertical="center"/>
    </xf>
    <xf numFmtId="0" fontId="6" fillId="0" borderId="51" xfId="0" applyFont="1" applyBorder="1" applyAlignment="1">
      <alignment horizontal="left" vertical="center" wrapText="1"/>
    </xf>
    <xf numFmtId="0" fontId="6" fillId="0" borderId="59" xfId="0" applyFont="1" applyBorder="1" applyAlignment="1">
      <alignment horizontal="left" vertical="center" wrapText="1"/>
    </xf>
    <xf numFmtId="0" fontId="6" fillId="0" borderId="93" xfId="0" applyFont="1" applyBorder="1" applyAlignment="1">
      <alignment horizontal="left" vertical="center" wrapText="1"/>
    </xf>
    <xf numFmtId="0" fontId="6" fillId="0" borderId="45" xfId="0" applyFont="1" applyBorder="1" applyAlignment="1">
      <alignment horizontal="left" vertical="center" wrapText="1"/>
    </xf>
    <xf numFmtId="0" fontId="6" fillId="0" borderId="0" xfId="0" applyFont="1" applyBorder="1" applyAlignment="1">
      <alignment horizontal="left" vertical="center" wrapText="1"/>
    </xf>
    <xf numFmtId="0" fontId="6" fillId="0" borderId="94" xfId="0" applyFont="1" applyBorder="1" applyAlignment="1">
      <alignment horizontal="left" vertical="center" wrapText="1"/>
    </xf>
    <xf numFmtId="0" fontId="6" fillId="0" borderId="61" xfId="0" applyFont="1" applyBorder="1" applyAlignment="1">
      <alignment horizontal="left" vertical="center" wrapText="1"/>
    </xf>
    <xf numFmtId="0" fontId="6" fillId="0" borderId="35" xfId="0" applyFont="1" applyBorder="1" applyAlignment="1">
      <alignment horizontal="left" vertical="center" wrapText="1"/>
    </xf>
    <xf numFmtId="0" fontId="6" fillId="0" borderId="95" xfId="0" applyFont="1" applyBorder="1" applyAlignment="1">
      <alignment horizontal="left" vertical="center" wrapText="1"/>
    </xf>
    <xf numFmtId="0" fontId="6" fillId="24" borderId="13" xfId="0" applyFont="1" applyFill="1" applyBorder="1" applyAlignment="1">
      <alignment horizontal="center" vertical="center"/>
    </xf>
    <xf numFmtId="0" fontId="6" fillId="24" borderId="60" xfId="0" applyFont="1" applyFill="1" applyBorder="1" applyAlignment="1">
      <alignment horizontal="center" vertical="center"/>
    </xf>
    <xf numFmtId="0" fontId="8" fillId="24" borderId="25" xfId="0" applyFont="1" applyFill="1" applyBorder="1" applyAlignment="1" applyProtection="1">
      <alignment horizontal="center" vertical="center"/>
      <protection/>
    </xf>
    <xf numFmtId="0" fontId="8" fillId="24" borderId="53" xfId="0" applyFont="1" applyFill="1" applyBorder="1" applyAlignment="1" applyProtection="1">
      <alignment horizontal="center" vertical="center"/>
      <protection/>
    </xf>
    <xf numFmtId="0" fontId="8" fillId="24" borderId="74" xfId="0" applyFont="1" applyFill="1" applyBorder="1" applyAlignment="1" applyProtection="1">
      <alignment horizontal="center" vertical="center"/>
      <protection/>
    </xf>
    <xf numFmtId="0" fontId="7" fillId="7" borderId="74" xfId="0" applyFont="1" applyFill="1" applyBorder="1" applyAlignment="1">
      <alignment horizontal="center" vertical="center" wrapText="1"/>
    </xf>
    <xf numFmtId="0" fontId="6" fillId="0" borderId="25"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0" borderId="74"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7" fillId="34" borderId="28" xfId="0" applyFont="1" applyFill="1" applyBorder="1" applyAlignment="1">
      <alignment horizontal="center" vertical="center" wrapText="1"/>
    </xf>
    <xf numFmtId="0" fontId="12" fillId="0" borderId="31"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6" fillId="28" borderId="61" xfId="0" applyFont="1" applyFill="1" applyBorder="1" applyAlignment="1" applyProtection="1">
      <alignment horizontal="left" vertical="center" wrapText="1" indent="1"/>
      <protection locked="0"/>
    </xf>
    <xf numFmtId="0" fontId="6" fillId="28" borderId="34" xfId="0" applyFont="1" applyFill="1" applyBorder="1" applyAlignment="1" applyProtection="1">
      <alignment horizontal="left" vertical="center" wrapText="1" indent="1"/>
      <protection locked="0"/>
    </xf>
    <xf numFmtId="0" fontId="6" fillId="0" borderId="29" xfId="0" applyFont="1" applyFill="1" applyBorder="1" applyAlignment="1">
      <alignment vertical="center" wrapText="1"/>
    </xf>
    <xf numFmtId="0" fontId="6" fillId="0" borderId="39" xfId="0" applyFont="1" applyFill="1" applyBorder="1" applyAlignment="1">
      <alignment vertical="center" wrapText="1"/>
    </xf>
    <xf numFmtId="0" fontId="6" fillId="0" borderId="49" xfId="0" applyFont="1" applyFill="1" applyBorder="1" applyAlignment="1">
      <alignment vertical="center" wrapText="1"/>
    </xf>
    <xf numFmtId="0" fontId="16" fillId="30" borderId="0" xfId="0" applyFont="1" applyFill="1" applyAlignment="1">
      <alignment horizontal="center" vertical="center"/>
    </xf>
    <xf numFmtId="0" fontId="17" fillId="30" borderId="0" xfId="0" applyFont="1" applyFill="1" applyAlignment="1">
      <alignment horizontal="center" vertical="center"/>
    </xf>
    <xf numFmtId="0" fontId="19" fillId="0" borderId="66" xfId="91" applyFont="1" applyBorder="1" applyAlignment="1" applyProtection="1">
      <alignment horizontal="left" vertical="center"/>
      <protection locked="0"/>
    </xf>
    <xf numFmtId="0" fontId="19" fillId="7" borderId="34" xfId="91" applyFont="1" applyFill="1" applyBorder="1" applyAlignment="1" applyProtection="1">
      <alignment horizontal="center" vertical="top" wrapText="1"/>
      <protection locked="0"/>
    </xf>
    <xf numFmtId="0" fontId="7" fillId="7" borderId="24" xfId="0" applyFont="1" applyFill="1" applyBorder="1" applyAlignment="1">
      <alignment horizontal="center" wrapText="1"/>
    </xf>
    <xf numFmtId="0" fontId="0" fillId="0" borderId="52" xfId="0" applyBorder="1" applyAlignment="1">
      <alignment/>
    </xf>
    <xf numFmtId="0" fontId="12" fillId="7" borderId="45"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7" fillId="7" borderId="0" xfId="0" applyFont="1" applyFill="1" applyBorder="1" applyAlignment="1">
      <alignment horizontal="center" vertical="top" wrapText="1"/>
    </xf>
    <xf numFmtId="0" fontId="7" fillId="7" borderId="58" xfId="0" applyFont="1" applyFill="1" applyBorder="1" applyAlignment="1">
      <alignment horizontal="center" vertical="top" wrapText="1"/>
    </xf>
    <xf numFmtId="0" fontId="7" fillId="0" borderId="29" xfId="0" applyFont="1" applyFill="1" applyBorder="1" applyAlignment="1">
      <alignment vertical="center" wrapText="1"/>
    </xf>
    <xf numFmtId="0" fontId="7" fillId="0" borderId="39" xfId="0" applyFont="1" applyFill="1" applyBorder="1" applyAlignment="1">
      <alignment vertical="center" wrapText="1"/>
    </xf>
    <xf numFmtId="0" fontId="7" fillId="0" borderId="38" xfId="0" applyFont="1" applyFill="1" applyBorder="1" applyAlignment="1">
      <alignment vertical="center" wrapText="1"/>
    </xf>
    <xf numFmtId="0" fontId="6" fillId="0" borderId="48" xfId="0" applyFont="1" applyBorder="1" applyAlignment="1" applyProtection="1">
      <alignment horizontal="left" vertical="top" wrapText="1"/>
      <protection locked="0"/>
    </xf>
    <xf numFmtId="0" fontId="6" fillId="0" borderId="73" xfId="0" applyFont="1" applyBorder="1" applyAlignment="1" applyProtection="1">
      <alignment horizontal="left" vertical="top" wrapText="1"/>
      <protection locked="0"/>
    </xf>
    <xf numFmtId="0" fontId="6" fillId="0" borderId="82" xfId="0" applyFont="1" applyBorder="1" applyAlignment="1" applyProtection="1">
      <alignment horizontal="left" vertical="top" wrapText="1"/>
      <protection locked="0"/>
    </xf>
    <xf numFmtId="0" fontId="8" fillId="24" borderId="14" xfId="0" applyFont="1" applyFill="1" applyBorder="1" applyAlignment="1">
      <alignment horizontal="center" vertical="center"/>
    </xf>
    <xf numFmtId="0" fontId="8" fillId="24" borderId="15" xfId="0" applyFont="1" applyFill="1" applyBorder="1" applyAlignment="1">
      <alignment horizontal="center" vertical="center"/>
    </xf>
    <xf numFmtId="0" fontId="6" fillId="0" borderId="40" xfId="0" applyFont="1" applyBorder="1" applyAlignment="1">
      <alignment horizontal="left" vertical="center" wrapText="1"/>
    </xf>
    <xf numFmtId="0" fontId="6" fillId="0" borderId="0" xfId="0" applyFont="1" applyAlignment="1">
      <alignment horizontal="left" vertical="center" wrapText="1"/>
    </xf>
    <xf numFmtId="0" fontId="21" fillId="7" borderId="19" xfId="0" applyFont="1" applyFill="1" applyBorder="1" applyAlignment="1">
      <alignment horizontal="center"/>
    </xf>
    <xf numFmtId="0" fontId="21" fillId="7" borderId="20" xfId="0" applyFont="1" applyFill="1" applyBorder="1" applyAlignment="1">
      <alignment horizontal="center"/>
    </xf>
    <xf numFmtId="0" fontId="19" fillId="0" borderId="0" xfId="91" applyFont="1" applyFill="1" applyBorder="1" applyAlignment="1" applyProtection="1">
      <alignment vertical="center"/>
      <protection locked="0"/>
    </xf>
    <xf numFmtId="0" fontId="6" fillId="0" borderId="31" xfId="91" applyFont="1" applyFill="1" applyBorder="1" applyAlignment="1" applyProtection="1">
      <alignment horizontal="left" vertical="center" wrapText="1"/>
      <protection/>
    </xf>
    <xf numFmtId="0" fontId="6" fillId="0" borderId="54" xfId="91" applyFont="1" applyFill="1" applyBorder="1" applyAlignment="1" applyProtection="1">
      <alignment horizontal="left" vertical="center" wrapText="1"/>
      <protection/>
    </xf>
    <xf numFmtId="0" fontId="6" fillId="0" borderId="48" xfId="0" applyFont="1" applyFill="1" applyBorder="1" applyAlignment="1">
      <alignment vertical="center" wrapText="1"/>
    </xf>
    <xf numFmtId="0" fontId="6" fillId="0" borderId="73" xfId="0" applyFont="1" applyFill="1" applyBorder="1" applyAlignment="1">
      <alignment vertical="center" wrapText="1"/>
    </xf>
    <xf numFmtId="0" fontId="6" fillId="0" borderId="50" xfId="0" applyFont="1" applyFill="1" applyBorder="1" applyAlignment="1">
      <alignment vertical="center" wrapText="1"/>
    </xf>
    <xf numFmtId="0" fontId="7" fillId="0" borderId="31" xfId="0" applyFont="1" applyBorder="1" applyAlignment="1" applyProtection="1">
      <alignment horizontal="left" vertical="top" wrapText="1"/>
      <protection/>
    </xf>
    <xf numFmtId="0" fontId="7" fillId="0" borderId="54" xfId="0" applyFont="1" applyBorder="1" applyAlignment="1" applyProtection="1">
      <alignment horizontal="left" vertical="top" wrapText="1"/>
      <protection/>
    </xf>
    <xf numFmtId="0" fontId="7" fillId="0" borderId="69" xfId="0" applyFont="1" applyBorder="1" applyAlignment="1" applyProtection="1">
      <alignment horizontal="left" vertical="top" wrapText="1"/>
      <protection/>
    </xf>
    <xf numFmtId="0" fontId="12" fillId="0" borderId="31" xfId="0" applyFont="1" applyFill="1" applyBorder="1" applyAlignment="1" applyProtection="1">
      <alignment horizontal="left" vertical="top" wrapText="1" indent="1"/>
      <protection locked="0"/>
    </xf>
    <xf numFmtId="0" fontId="12" fillId="0" borderId="30" xfId="0" applyFont="1" applyFill="1" applyBorder="1" applyAlignment="1" applyProtection="1">
      <alignment horizontal="left" vertical="top" wrapText="1" indent="1"/>
      <protection locked="0"/>
    </xf>
    <xf numFmtId="0" fontId="7" fillId="0" borderId="35" xfId="0" applyFont="1" applyFill="1" applyBorder="1" applyAlignment="1">
      <alignment vertical="center" wrapText="1"/>
    </xf>
    <xf numFmtId="0" fontId="7" fillId="0" borderId="31" xfId="0" applyFont="1" applyFill="1" applyBorder="1" applyAlignment="1" applyProtection="1">
      <alignment vertical="center" wrapText="1"/>
      <protection/>
    </xf>
    <xf numFmtId="0" fontId="7" fillId="0" borderId="54" xfId="0" applyFont="1" applyFill="1" applyBorder="1" applyAlignment="1" applyProtection="1">
      <alignment vertical="center" wrapText="1"/>
      <protection/>
    </xf>
    <xf numFmtId="0" fontId="7" fillId="0" borderId="69" xfId="0" applyFont="1" applyFill="1" applyBorder="1" applyAlignment="1" applyProtection="1">
      <alignment vertical="center" wrapText="1"/>
      <protection/>
    </xf>
    <xf numFmtId="0" fontId="0" fillId="0" borderId="73"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69" xfId="0" applyFont="1" applyBorder="1" applyAlignment="1" applyProtection="1">
      <alignment horizontal="left" vertical="top" wrapText="1"/>
      <protection locked="0"/>
    </xf>
    <xf numFmtId="0" fontId="6" fillId="0" borderId="48" xfId="0" applyFont="1" applyFill="1" applyBorder="1" applyAlignment="1">
      <alignment horizontal="left" vertical="center" wrapText="1" indent="1"/>
    </xf>
    <xf numFmtId="0" fontId="6" fillId="0" borderId="50" xfId="0" applyFont="1" applyFill="1" applyBorder="1" applyAlignment="1">
      <alignment horizontal="left" vertical="center" wrapText="1" indent="1"/>
    </xf>
    <xf numFmtId="0" fontId="6" fillId="0" borderId="48" xfId="91" applyFont="1" applyFill="1" applyBorder="1" applyAlignment="1" applyProtection="1">
      <alignment horizontal="left" vertical="center" wrapText="1"/>
      <protection/>
    </xf>
    <xf numFmtId="0" fontId="6" fillId="0" borderId="73" xfId="91" applyFont="1" applyFill="1" applyBorder="1" applyAlignment="1" applyProtection="1">
      <alignment horizontal="left" vertical="center" wrapText="1"/>
      <protection/>
    </xf>
    <xf numFmtId="0" fontId="6" fillId="0" borderId="39" xfId="105" applyFont="1" applyFill="1" applyBorder="1" applyAlignment="1" applyProtection="1">
      <alignment horizontal="left" vertical="center" wrapText="1"/>
      <protection/>
    </xf>
    <xf numFmtId="0" fontId="6" fillId="0" borderId="26" xfId="105" applyFont="1" applyFill="1" applyBorder="1" applyAlignment="1" applyProtection="1">
      <alignment horizontal="left" vertical="center" wrapText="1"/>
      <protection/>
    </xf>
    <xf numFmtId="0" fontId="6" fillId="0" borderId="74" xfId="105" applyFont="1" applyFill="1" applyBorder="1" applyAlignment="1" applyProtection="1">
      <alignment horizontal="left" vertical="center" wrapText="1"/>
      <protection/>
    </xf>
    <xf numFmtId="0" fontId="6" fillId="0" borderId="31" xfId="0" applyFont="1" applyFill="1" applyBorder="1" applyAlignment="1">
      <alignment vertical="center" wrapText="1"/>
    </xf>
    <xf numFmtId="0" fontId="6" fillId="0" borderId="30" xfId="0" applyFont="1" applyFill="1" applyBorder="1" applyAlignment="1">
      <alignment vertical="center" wrapText="1"/>
    </xf>
    <xf numFmtId="0" fontId="6" fillId="0" borderId="29"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21" fillId="0" borderId="0" xfId="0" applyFont="1" applyFill="1" applyAlignment="1">
      <alignment horizontal="justify" vertical="center" wrapText="1"/>
    </xf>
    <xf numFmtId="49" fontId="6" fillId="0" borderId="69" xfId="0" applyNumberFormat="1" applyFont="1" applyFill="1" applyBorder="1" applyAlignment="1" applyProtection="1">
      <alignment horizontal="center" vertical="center"/>
      <protection locked="0"/>
    </xf>
    <xf numFmtId="49" fontId="6" fillId="0" borderId="31" xfId="0" applyNumberFormat="1" applyFont="1" applyFill="1" applyBorder="1" applyAlignment="1" applyProtection="1">
      <alignment vertical="top"/>
      <protection locked="0"/>
    </xf>
    <xf numFmtId="49" fontId="6" fillId="0" borderId="54" xfId="0" applyNumberFormat="1" applyFont="1" applyFill="1" applyBorder="1" applyAlignment="1" applyProtection="1">
      <alignment vertical="top"/>
      <protection locked="0"/>
    </xf>
    <xf numFmtId="49" fontId="6" fillId="0" borderId="69" xfId="0" applyNumberFormat="1" applyFont="1" applyFill="1" applyBorder="1" applyAlignment="1" applyProtection="1">
      <alignment vertical="top"/>
      <protection locked="0"/>
    </xf>
    <xf numFmtId="49" fontId="6" fillId="0" borderId="48" xfId="0" applyNumberFormat="1" applyFont="1" applyFill="1" applyBorder="1" applyAlignment="1" applyProtection="1">
      <alignment vertical="top"/>
      <protection locked="0"/>
    </xf>
    <xf numFmtId="49" fontId="6" fillId="0" borderId="73" xfId="0" applyNumberFormat="1" applyFont="1" applyFill="1" applyBorder="1" applyAlignment="1" applyProtection="1">
      <alignment vertical="top"/>
      <protection locked="0"/>
    </xf>
    <xf numFmtId="49" fontId="6" fillId="0" borderId="82" xfId="0" applyNumberFormat="1" applyFont="1" applyFill="1" applyBorder="1" applyAlignment="1" applyProtection="1">
      <alignment vertical="top"/>
      <protection locked="0"/>
    </xf>
    <xf numFmtId="0" fontId="7" fillId="0" borderId="48"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6" fillId="0" borderId="31" xfId="105" applyFont="1" applyFill="1" applyBorder="1" applyAlignment="1" applyProtection="1">
      <alignment horizontal="left" vertical="center" wrapText="1"/>
      <protection/>
    </xf>
    <xf numFmtId="0" fontId="6" fillId="0" borderId="30" xfId="105" applyFont="1" applyFill="1" applyBorder="1" applyAlignment="1" applyProtection="1">
      <alignment horizontal="left" vertical="center" wrapText="1"/>
      <protection/>
    </xf>
    <xf numFmtId="0" fontId="6" fillId="0" borderId="48" xfId="105" applyFont="1" applyFill="1" applyBorder="1" applyAlignment="1" applyProtection="1">
      <alignment horizontal="left" vertical="center" wrapText="1"/>
      <protection/>
    </xf>
    <xf numFmtId="0" fontId="6" fillId="0" borderId="50" xfId="105" applyFont="1" applyFill="1" applyBorder="1" applyAlignment="1" applyProtection="1">
      <alignment horizontal="left" vertical="center" wrapText="1"/>
      <protection/>
    </xf>
    <xf numFmtId="0" fontId="7" fillId="0" borderId="31" xfId="0" applyFont="1" applyFill="1" applyBorder="1" applyAlignment="1">
      <alignment horizontal="left" vertical="center"/>
    </xf>
    <xf numFmtId="0" fontId="7" fillId="0" borderId="30" xfId="0" applyFont="1" applyFill="1" applyBorder="1" applyAlignment="1">
      <alignment horizontal="left" vertical="center"/>
    </xf>
    <xf numFmtId="0" fontId="16" fillId="30" borderId="0" xfId="0" applyFont="1" applyFill="1" applyBorder="1" applyAlignment="1">
      <alignment horizontal="center" vertical="center" wrapText="1"/>
    </xf>
    <xf numFmtId="0" fontId="11" fillId="0" borderId="66" xfId="0" applyFont="1" applyBorder="1" applyAlignment="1">
      <alignment vertical="center" wrapText="1"/>
    </xf>
    <xf numFmtId="0" fontId="10" fillId="0" borderId="66" xfId="0" applyFont="1" applyBorder="1" applyAlignment="1">
      <alignment vertical="center" wrapText="1"/>
    </xf>
    <xf numFmtId="0" fontId="19" fillId="0" borderId="0" xfId="91" applyFont="1" applyAlignment="1" applyProtection="1">
      <alignment vertical="center"/>
      <protection locked="0"/>
    </xf>
    <xf numFmtId="0" fontId="7" fillId="7" borderId="29" xfId="0" applyFont="1" applyFill="1" applyBorder="1" applyAlignment="1">
      <alignment horizontal="center" vertical="center"/>
    </xf>
    <xf numFmtId="0" fontId="7" fillId="7" borderId="49" xfId="0" applyFont="1" applyFill="1" applyBorder="1" applyAlignment="1">
      <alignment horizontal="center" vertical="center"/>
    </xf>
    <xf numFmtId="0" fontId="81" fillId="0" borderId="30" xfId="0" applyFont="1" applyFill="1" applyBorder="1" applyAlignment="1">
      <alignment horizontal="left" vertical="center" wrapText="1"/>
    </xf>
    <xf numFmtId="0" fontId="8" fillId="24" borderId="56" xfId="0" applyFont="1" applyFill="1" applyBorder="1" applyAlignment="1">
      <alignment horizontal="center" vertical="center"/>
    </xf>
    <xf numFmtId="0" fontId="8" fillId="24" borderId="96" xfId="0" applyFont="1" applyFill="1" applyBorder="1" applyAlignment="1">
      <alignment horizontal="center" vertical="center"/>
    </xf>
    <xf numFmtId="0" fontId="6" fillId="0" borderId="31"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3" xfId="0" applyFont="1" applyFill="1" applyBorder="1" applyAlignment="1">
      <alignment horizontal="left" vertical="center" indent="1"/>
    </xf>
    <xf numFmtId="0" fontId="6" fillId="0" borderId="24"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1" fontId="6" fillId="0" borderId="31" xfId="135" applyNumberFormat="1" applyFont="1" applyFill="1" applyBorder="1" applyAlignment="1" applyProtection="1">
      <alignment horizontal="center" vertical="center"/>
      <protection locked="0"/>
    </xf>
    <xf numFmtId="1" fontId="6" fillId="0" borderId="69" xfId="135" applyNumberFormat="1" applyFont="1" applyFill="1" applyBorder="1" applyAlignment="1" applyProtection="1">
      <alignment horizontal="center" vertical="center"/>
      <protection locked="0"/>
    </xf>
    <xf numFmtId="0" fontId="6" fillId="0" borderId="54" xfId="105" applyFont="1" applyFill="1" applyBorder="1" applyAlignment="1" applyProtection="1">
      <alignment horizontal="left" vertical="center" wrapText="1"/>
      <protection/>
    </xf>
    <xf numFmtId="0" fontId="6" fillId="0" borderId="51" xfId="105" applyFont="1" applyFill="1" applyBorder="1" applyAlignment="1">
      <alignment horizontal="left" vertical="center" wrapText="1"/>
      <protection/>
    </xf>
    <xf numFmtId="0" fontId="6" fillId="0" borderId="59" xfId="105" applyFont="1" applyFill="1" applyBorder="1" applyAlignment="1">
      <alignment horizontal="left" vertical="center" wrapText="1"/>
      <protection/>
    </xf>
    <xf numFmtId="0" fontId="6" fillId="0" borderId="12"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19" fillId="0" borderId="30" xfId="91" applyFont="1" applyFill="1" applyBorder="1" applyAlignment="1" applyProtection="1">
      <alignment horizontal="center" vertical="center" wrapText="1"/>
      <protection locked="0"/>
    </xf>
    <xf numFmtId="0" fontId="19" fillId="0" borderId="50" xfId="91" applyFont="1" applyFill="1" applyBorder="1" applyAlignment="1" applyProtection="1">
      <alignment horizontal="center" vertical="center" wrapText="1"/>
      <protection locked="0"/>
    </xf>
    <xf numFmtId="0" fontId="6" fillId="0" borderId="12" xfId="0" applyFont="1" applyFill="1" applyBorder="1" applyAlignment="1">
      <alignment horizontal="left" vertical="center" indent="1"/>
    </xf>
    <xf numFmtId="0" fontId="6" fillId="0" borderId="12" xfId="0" applyFont="1" applyFill="1" applyBorder="1" applyAlignment="1">
      <alignment vertical="center" wrapText="1"/>
    </xf>
    <xf numFmtId="0" fontId="6" fillId="28" borderId="12" xfId="0" applyFont="1" applyFill="1" applyBorder="1" applyAlignment="1" applyProtection="1">
      <alignment horizontal="center" vertical="center"/>
      <protection locked="0"/>
    </xf>
    <xf numFmtId="0" fontId="6" fillId="28" borderId="21"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indent="3"/>
      <protection/>
    </xf>
    <xf numFmtId="0" fontId="6" fillId="0" borderId="51" xfId="0" applyFont="1" applyFill="1" applyBorder="1" applyAlignment="1" applyProtection="1">
      <alignment horizontal="center" vertical="center" wrapText="1"/>
      <protection locked="0"/>
    </xf>
    <xf numFmtId="0" fontId="6" fillId="0" borderId="97"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left" vertical="center" wrapText="1" indent="3"/>
      <protection/>
    </xf>
    <xf numFmtId="0" fontId="6" fillId="0" borderId="54" xfId="0" applyFont="1" applyFill="1" applyBorder="1" applyAlignment="1" applyProtection="1">
      <alignment horizontal="left" vertical="center" wrapText="1" indent="3"/>
      <protection/>
    </xf>
    <xf numFmtId="0" fontId="0" fillId="0" borderId="31" xfId="105" applyFill="1" applyBorder="1" applyAlignment="1" applyProtection="1">
      <alignment horizontal="center" vertical="center" wrapText="1"/>
      <protection locked="0"/>
    </xf>
    <xf numFmtId="0" fontId="0" fillId="0" borderId="69" xfId="105" applyFill="1" applyBorder="1" applyAlignment="1" applyProtection="1">
      <alignment horizontal="center" vertical="center" wrapText="1"/>
      <protection locked="0"/>
    </xf>
    <xf numFmtId="0" fontId="6" fillId="32" borderId="31" xfId="105" applyFont="1" applyFill="1" applyBorder="1" applyAlignment="1" applyProtection="1">
      <alignment horizontal="center" vertical="center"/>
      <protection locked="0"/>
    </xf>
    <xf numFmtId="0" fontId="6" fillId="32" borderId="69" xfId="105" applyFont="1" applyFill="1" applyBorder="1" applyAlignment="1" applyProtection="1">
      <alignment horizontal="center" vertical="center"/>
      <protection locked="0"/>
    </xf>
    <xf numFmtId="0" fontId="6" fillId="32" borderId="48" xfId="105" applyFont="1" applyFill="1" applyBorder="1" applyAlignment="1" applyProtection="1">
      <alignment horizontal="center" vertical="center"/>
      <protection locked="0"/>
    </xf>
    <xf numFmtId="0" fontId="6" fillId="32" borderId="82" xfId="105" applyFont="1" applyFill="1" applyBorder="1" applyAlignment="1" applyProtection="1">
      <alignment horizontal="center" vertical="center"/>
      <protection locked="0"/>
    </xf>
    <xf numFmtId="0" fontId="6" fillId="0" borderId="31" xfId="105" applyFont="1" applyFill="1" applyBorder="1" applyAlignment="1" applyProtection="1">
      <alignment vertical="center" wrapText="1"/>
      <protection/>
    </xf>
    <xf numFmtId="0" fontId="6" fillId="0" borderId="30" xfId="105" applyFont="1" applyFill="1" applyBorder="1" applyAlignment="1" applyProtection="1">
      <alignment vertical="center" wrapText="1"/>
      <protection/>
    </xf>
    <xf numFmtId="0" fontId="6" fillId="28" borderId="61" xfId="0" applyFont="1" applyFill="1" applyBorder="1" applyAlignment="1" applyProtection="1">
      <alignment horizontal="center" vertical="center"/>
      <protection locked="0"/>
    </xf>
    <xf numFmtId="0" fontId="6" fillId="28" borderId="36" xfId="0" applyFont="1" applyFill="1" applyBorder="1" applyAlignment="1" applyProtection="1">
      <alignment horizontal="center" vertical="center"/>
      <protection locked="0"/>
    </xf>
    <xf numFmtId="0" fontId="6" fillId="0" borderId="12" xfId="91" applyFont="1" applyFill="1" applyBorder="1" applyAlignment="1" applyProtection="1">
      <alignment horizontal="left" vertical="center" wrapText="1"/>
      <protection/>
    </xf>
    <xf numFmtId="0" fontId="6" fillId="0" borderId="73" xfId="105" applyFont="1" applyFill="1" applyBorder="1" applyAlignment="1" applyProtection="1">
      <alignment horizontal="left" vertical="center" wrapText="1"/>
      <protection/>
    </xf>
    <xf numFmtId="0" fontId="6" fillId="0" borderId="48" xfId="105" applyFont="1" applyFill="1" applyBorder="1" applyAlignment="1" applyProtection="1">
      <alignment horizontal="left" vertical="center"/>
      <protection locked="0"/>
    </xf>
    <xf numFmtId="0" fontId="6" fillId="0" borderId="82" xfId="105" applyFont="1" applyFill="1" applyBorder="1" applyAlignment="1" applyProtection="1">
      <alignment horizontal="left" vertical="center"/>
      <protection locked="0"/>
    </xf>
    <xf numFmtId="0" fontId="6" fillId="0" borderId="31" xfId="105" applyFont="1" applyFill="1" applyBorder="1" applyAlignment="1" applyProtection="1">
      <alignment horizontal="left" vertical="center"/>
      <protection locked="0"/>
    </xf>
    <xf numFmtId="0" fontId="6" fillId="0" borderId="69" xfId="105" applyFont="1" applyFill="1" applyBorder="1" applyAlignment="1" applyProtection="1">
      <alignment horizontal="left" vertical="center"/>
      <protection locked="0"/>
    </xf>
    <xf numFmtId="0" fontId="6" fillId="0" borderId="51" xfId="105" applyFont="1" applyFill="1" applyBorder="1" applyAlignment="1" applyProtection="1">
      <alignment horizontal="center" vertical="center"/>
      <protection locked="0"/>
    </xf>
    <xf numFmtId="0" fontId="6" fillId="0" borderId="97" xfId="105" applyFont="1" applyFill="1" applyBorder="1" applyAlignment="1" applyProtection="1">
      <alignment horizontal="center" vertical="center"/>
      <protection locked="0"/>
    </xf>
    <xf numFmtId="0" fontId="6" fillId="0" borderId="12" xfId="105" applyFont="1" applyFill="1" applyBorder="1" applyAlignment="1" applyProtection="1">
      <alignment horizontal="left" vertical="center" wrapText="1"/>
      <protection/>
    </xf>
    <xf numFmtId="0" fontId="6" fillId="0" borderId="31" xfId="105" applyFont="1" applyBorder="1" applyAlignment="1" applyProtection="1">
      <alignment horizontal="center" vertical="center"/>
      <protection locked="0"/>
    </xf>
    <xf numFmtId="0" fontId="6" fillId="0" borderId="69" xfId="105" applyFont="1" applyBorder="1" applyAlignment="1" applyProtection="1">
      <alignment horizontal="center" vertical="center"/>
      <protection locked="0"/>
    </xf>
    <xf numFmtId="0" fontId="6" fillId="24" borderId="86" xfId="0" applyFont="1" applyFill="1" applyBorder="1" applyAlignment="1">
      <alignment horizontal="center" vertical="center"/>
    </xf>
    <xf numFmtId="0" fontId="6" fillId="24" borderId="72" xfId="0" applyFont="1" applyFill="1" applyBorder="1" applyAlignment="1">
      <alignment horizontal="center" vertical="center"/>
    </xf>
    <xf numFmtId="0" fontId="6" fillId="24" borderId="33" xfId="0" applyFont="1" applyFill="1" applyBorder="1" applyAlignment="1">
      <alignment horizontal="center" vertical="center"/>
    </xf>
    <xf numFmtId="0" fontId="7" fillId="7" borderId="19" xfId="0" applyFont="1" applyFill="1" applyBorder="1" applyAlignment="1">
      <alignment horizontal="center" vertical="center"/>
    </xf>
    <xf numFmtId="0" fontId="12" fillId="26" borderId="26" xfId="0" applyFont="1" applyFill="1" applyBorder="1" applyAlignment="1">
      <alignment horizontal="center" vertical="center" wrapText="1"/>
    </xf>
    <xf numFmtId="0" fontId="12" fillId="26" borderId="28" xfId="0" applyFont="1" applyFill="1" applyBorder="1" applyAlignment="1">
      <alignment horizontal="center" vertical="center" wrapText="1"/>
    </xf>
    <xf numFmtId="0" fontId="7" fillId="0" borderId="12" xfId="0" applyFont="1" applyFill="1" applyBorder="1" applyAlignment="1">
      <alignment horizontal="left" vertical="center" wrapText="1" indent="2"/>
    </xf>
    <xf numFmtId="0" fontId="6" fillId="0" borderId="12" xfId="0" applyFont="1" applyFill="1" applyBorder="1" applyAlignment="1">
      <alignment horizontal="left" vertical="center" wrapText="1" indent="2"/>
    </xf>
    <xf numFmtId="0" fontId="6" fillId="0" borderId="12"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8" fillId="24" borderId="59" xfId="105" applyFont="1" applyFill="1" applyBorder="1" applyAlignment="1" applyProtection="1">
      <alignment horizontal="center" vertical="center"/>
      <protection/>
    </xf>
    <xf numFmtId="0" fontId="8" fillId="24" borderId="0" xfId="105" applyFont="1" applyFill="1" applyBorder="1" applyAlignment="1" applyProtection="1">
      <alignment horizontal="center" vertical="center"/>
      <protection/>
    </xf>
    <xf numFmtId="0" fontId="6" fillId="32" borderId="29" xfId="105" applyFont="1" applyFill="1" applyBorder="1" applyAlignment="1" applyProtection="1">
      <alignment horizontal="center" vertical="center"/>
      <protection locked="0"/>
    </xf>
    <xf numFmtId="0" fontId="6" fillId="32" borderId="38" xfId="105" applyFont="1" applyFill="1" applyBorder="1" applyAlignment="1" applyProtection="1">
      <alignment horizontal="center" vertical="center"/>
      <protection locked="0"/>
    </xf>
    <xf numFmtId="0" fontId="6" fillId="0" borderId="12" xfId="0" applyFont="1" applyFill="1" applyBorder="1" applyAlignment="1">
      <alignment wrapText="1"/>
    </xf>
    <xf numFmtId="0" fontId="6" fillId="0" borderId="48" xfId="105" applyFont="1" applyFill="1" applyBorder="1" applyAlignment="1" applyProtection="1">
      <alignment vertical="center" wrapText="1"/>
      <protection/>
    </xf>
    <xf numFmtId="0" fontId="6" fillId="0" borderId="50" xfId="105" applyFont="1" applyFill="1" applyBorder="1" applyAlignment="1" applyProtection="1">
      <alignment vertical="center" wrapText="1"/>
      <protection/>
    </xf>
    <xf numFmtId="0" fontId="6" fillId="32" borderId="19" xfId="105" applyFont="1" applyFill="1" applyBorder="1" applyAlignment="1" applyProtection="1">
      <alignment horizontal="center" vertical="center"/>
      <protection locked="0"/>
    </xf>
    <xf numFmtId="0" fontId="6" fillId="32" borderId="20" xfId="105" applyFont="1" applyFill="1" applyBorder="1" applyAlignment="1" applyProtection="1">
      <alignment horizontal="center" vertical="center"/>
      <protection locked="0"/>
    </xf>
    <xf numFmtId="0" fontId="6" fillId="32" borderId="26" xfId="105" applyFont="1" applyFill="1" applyBorder="1" applyAlignment="1" applyProtection="1">
      <alignment horizontal="center" vertical="center"/>
      <protection locked="0"/>
    </xf>
    <xf numFmtId="0" fontId="6" fillId="32" borderId="55" xfId="105" applyFont="1" applyFill="1" applyBorder="1" applyAlignment="1" applyProtection="1">
      <alignment horizontal="center" vertical="center"/>
      <protection locked="0"/>
    </xf>
    <xf numFmtId="0" fontId="6" fillId="32" borderId="12" xfId="105" applyFont="1" applyFill="1" applyBorder="1" applyAlignment="1" applyProtection="1">
      <alignment horizontal="center" vertical="center"/>
      <protection locked="0"/>
    </xf>
    <xf numFmtId="0" fontId="6" fillId="32" borderId="21" xfId="105" applyFont="1" applyFill="1" applyBorder="1" applyAlignment="1" applyProtection="1">
      <alignment horizontal="center" vertical="center"/>
      <protection locked="0"/>
    </xf>
    <xf numFmtId="0" fontId="19" fillId="0" borderId="53" xfId="91" applyFont="1" applyFill="1" applyBorder="1" applyAlignment="1" applyProtection="1">
      <alignment horizontal="center" vertical="center" wrapText="1"/>
      <protection locked="0"/>
    </xf>
    <xf numFmtId="0" fontId="19" fillId="0" borderId="53"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8" fillId="24" borderId="13" xfId="0" applyFont="1" applyFill="1" applyBorder="1" applyAlignment="1">
      <alignment horizontal="center" vertical="center"/>
    </xf>
    <xf numFmtId="0" fontId="6" fillId="0" borderId="83" xfId="0" applyFont="1" applyFill="1" applyBorder="1" applyAlignment="1">
      <alignment horizontal="left" vertical="center"/>
    </xf>
    <xf numFmtId="0" fontId="6" fillId="0" borderId="65" xfId="0" applyFont="1" applyFill="1" applyBorder="1" applyAlignment="1">
      <alignment horizontal="left" vertical="center"/>
    </xf>
    <xf numFmtId="0" fontId="6" fillId="28" borderId="19" xfId="0" applyFont="1" applyFill="1" applyBorder="1" applyAlignment="1" applyProtection="1">
      <alignment horizontal="center" vertical="center"/>
      <protection locked="0"/>
    </xf>
    <xf numFmtId="0" fontId="6" fillId="28" borderId="20" xfId="0" applyFont="1" applyFill="1" applyBorder="1" applyAlignment="1" applyProtection="1">
      <alignment horizontal="center" vertical="center"/>
      <protection locked="0"/>
    </xf>
    <xf numFmtId="0" fontId="6" fillId="0" borderId="24" xfId="0" applyFont="1" applyFill="1" applyBorder="1" applyAlignment="1">
      <alignment vertical="center" wrapText="1"/>
    </xf>
    <xf numFmtId="0" fontId="6" fillId="0" borderId="40" xfId="0" applyFont="1" applyFill="1" applyBorder="1" applyAlignment="1">
      <alignment vertical="center" wrapText="1"/>
    </xf>
    <xf numFmtId="0" fontId="6" fillId="0" borderId="52" xfId="0" applyFont="1" applyFill="1" applyBorder="1" applyAlignment="1">
      <alignment vertical="center" wrapText="1"/>
    </xf>
    <xf numFmtId="0" fontId="7" fillId="7" borderId="39" xfId="0" applyFont="1" applyFill="1" applyBorder="1" applyAlignment="1">
      <alignment horizontal="center" vertical="center"/>
    </xf>
    <xf numFmtId="0" fontId="6" fillId="0" borderId="29" xfId="105" applyFont="1" applyFill="1" applyBorder="1" applyAlignment="1" applyProtection="1">
      <alignment horizontal="left" vertical="center" wrapText="1"/>
      <protection/>
    </xf>
    <xf numFmtId="0" fontId="6" fillId="0" borderId="31" xfId="105" applyFont="1" applyFill="1" applyBorder="1" applyAlignment="1">
      <alignment horizontal="left" vertical="center" wrapText="1"/>
      <protection/>
    </xf>
    <xf numFmtId="0" fontId="6" fillId="0" borderId="54" xfId="105" applyFont="1" applyFill="1" applyBorder="1" applyAlignment="1">
      <alignment horizontal="left" vertical="center" wrapText="1"/>
      <protection/>
    </xf>
    <xf numFmtId="0" fontId="6" fillId="0" borderId="54" xfId="0" applyFont="1" applyFill="1" applyBorder="1" applyAlignment="1">
      <alignment vertical="center" wrapText="1"/>
    </xf>
    <xf numFmtId="0" fontId="0" fillId="0" borderId="49" xfId="0" applyBorder="1" applyAlignment="1">
      <alignment/>
    </xf>
    <xf numFmtId="0" fontId="6" fillId="0" borderId="51" xfId="0" applyFont="1" applyFill="1" applyBorder="1" applyAlignment="1">
      <alignment vertical="center" wrapText="1"/>
    </xf>
    <xf numFmtId="0" fontId="6" fillId="0" borderId="59" xfId="0" applyFont="1" applyFill="1" applyBorder="1" applyAlignment="1">
      <alignment vertical="center" wrapText="1"/>
    </xf>
    <xf numFmtId="0" fontId="6" fillId="0" borderId="68" xfId="0" applyFont="1" applyFill="1" applyBorder="1" applyAlignment="1">
      <alignment vertical="center" wrapText="1"/>
    </xf>
    <xf numFmtId="0" fontId="7" fillId="0" borderId="31" xfId="0" applyFont="1" applyFill="1" applyBorder="1" applyAlignment="1">
      <alignment horizontal="left" vertical="center" wrapText="1" indent="1"/>
    </xf>
    <xf numFmtId="0" fontId="7" fillId="0" borderId="54" xfId="0" applyFont="1" applyFill="1" applyBorder="1" applyAlignment="1">
      <alignment horizontal="left" vertical="center" wrapText="1" indent="1"/>
    </xf>
    <xf numFmtId="0" fontId="7" fillId="0" borderId="30" xfId="0" applyFont="1" applyFill="1" applyBorder="1" applyAlignment="1">
      <alignment horizontal="left" vertical="center" wrapText="1" indent="1"/>
    </xf>
    <xf numFmtId="0" fontId="7" fillId="7" borderId="19" xfId="0" applyFont="1" applyFill="1" applyBorder="1" applyAlignment="1">
      <alignment horizontal="center" vertical="center" wrapText="1"/>
    </xf>
    <xf numFmtId="0" fontId="8" fillId="24" borderId="72" xfId="105" applyFont="1" applyFill="1" applyBorder="1" applyAlignment="1" applyProtection="1">
      <alignment horizontal="center" vertical="center"/>
      <protection/>
    </xf>
    <xf numFmtId="0" fontId="8" fillId="24" borderId="33" xfId="105" applyFont="1" applyFill="1" applyBorder="1" applyAlignment="1" applyProtection="1">
      <alignment horizontal="center" vertical="center"/>
      <protection/>
    </xf>
    <xf numFmtId="0" fontId="6" fillId="0" borderId="45" xfId="105" applyFont="1" applyFill="1" applyBorder="1" applyAlignment="1" applyProtection="1">
      <alignment horizontal="left" vertical="center" wrapText="1"/>
      <protection/>
    </xf>
    <xf numFmtId="0" fontId="6" fillId="0" borderId="0" xfId="105" applyFont="1" applyFill="1" applyBorder="1" applyAlignment="1" applyProtection="1">
      <alignment horizontal="left" vertical="center" wrapText="1"/>
      <protection/>
    </xf>
    <xf numFmtId="0" fontId="6" fillId="0" borderId="58" xfId="105" applyFont="1" applyFill="1" applyBorder="1" applyAlignment="1" applyProtection="1">
      <alignment horizontal="left" vertical="center" wrapText="1"/>
      <protection/>
    </xf>
    <xf numFmtId="0" fontId="6" fillId="0" borderId="61" xfId="105" applyFont="1" applyFill="1" applyBorder="1" applyAlignment="1" applyProtection="1">
      <alignment horizontal="left" vertical="center" wrapText="1"/>
      <protection/>
    </xf>
    <xf numFmtId="0" fontId="6" fillId="0" borderId="35" xfId="105" applyFont="1" applyFill="1" applyBorder="1" applyAlignment="1" applyProtection="1">
      <alignment horizontal="left" vertical="center" wrapText="1"/>
      <protection/>
    </xf>
    <xf numFmtId="0" fontId="6" fillId="0" borderId="34" xfId="105" applyFont="1" applyFill="1" applyBorder="1" applyAlignment="1" applyProtection="1">
      <alignment horizontal="left" vertical="center" wrapText="1"/>
      <protection/>
    </xf>
    <xf numFmtId="0" fontId="10" fillId="0" borderId="29" xfId="105" applyFont="1" applyFill="1" applyBorder="1" applyAlignment="1" applyProtection="1">
      <alignment vertical="center" wrapText="1"/>
      <protection/>
    </xf>
    <xf numFmtId="0" fontId="10" fillId="0" borderId="39" xfId="105" applyFont="1" applyFill="1" applyBorder="1" applyAlignment="1" applyProtection="1">
      <alignment vertical="center" wrapText="1"/>
      <protection/>
    </xf>
    <xf numFmtId="0" fontId="10" fillId="0" borderId="38" xfId="105" applyFont="1" applyFill="1" applyBorder="1" applyAlignment="1" applyProtection="1">
      <alignment vertical="center" wrapText="1"/>
      <protection/>
    </xf>
    <xf numFmtId="0" fontId="6" fillId="0" borderId="48" xfId="105" applyFont="1" applyFill="1" applyBorder="1" applyAlignment="1" applyProtection="1">
      <alignment horizontal="center" vertical="center"/>
      <protection locked="0"/>
    </xf>
    <xf numFmtId="0" fontId="6" fillId="0" borderId="82" xfId="105" applyFont="1" applyFill="1" applyBorder="1" applyAlignment="1" applyProtection="1">
      <alignment horizontal="center" vertical="center"/>
      <protection locked="0"/>
    </xf>
    <xf numFmtId="0" fontId="6" fillId="0" borderId="73" xfId="0" applyFont="1" applyFill="1" applyBorder="1" applyAlignment="1">
      <alignment horizontal="left" vertical="center" wrapText="1"/>
    </xf>
    <xf numFmtId="0" fontId="6" fillId="0" borderId="31" xfId="0" applyFont="1" applyFill="1" applyBorder="1" applyAlignment="1">
      <alignment wrapText="1"/>
    </xf>
    <xf numFmtId="0" fontId="28" fillId="0" borderId="0" xfId="0" applyFont="1" applyFill="1" applyAlignment="1">
      <alignment/>
    </xf>
    <xf numFmtId="0" fontId="28" fillId="0" borderId="66" xfId="0" applyFont="1" applyFill="1" applyBorder="1" applyAlignment="1">
      <alignment/>
    </xf>
    <xf numFmtId="0" fontId="6" fillId="0" borderId="26" xfId="0" applyFont="1" applyFill="1" applyBorder="1" applyAlignment="1">
      <alignment wrapText="1"/>
    </xf>
    <xf numFmtId="0" fontId="6" fillId="0" borderId="29" xfId="0" applyFont="1" applyFill="1" applyBorder="1" applyAlignment="1" applyProtection="1">
      <alignment horizontal="left" vertical="center" wrapText="1"/>
      <protection/>
    </xf>
    <xf numFmtId="0" fontId="6" fillId="0" borderId="39" xfId="0" applyFont="1" applyFill="1" applyBorder="1" applyAlignment="1" applyProtection="1">
      <alignment horizontal="left" vertical="center" wrapText="1"/>
      <protection/>
    </xf>
    <xf numFmtId="0" fontId="6" fillId="0" borderId="49" xfId="0" applyFont="1" applyFill="1" applyBorder="1" applyAlignment="1" applyProtection="1">
      <alignment horizontal="left" vertical="center" wrapText="1"/>
      <protection/>
    </xf>
    <xf numFmtId="0" fontId="6" fillId="0" borderId="19" xfId="105" applyFont="1" applyFill="1" applyBorder="1" applyAlignment="1" applyProtection="1">
      <alignment horizontal="left" vertical="center" wrapText="1"/>
      <protection/>
    </xf>
    <xf numFmtId="0" fontId="6" fillId="0" borderId="73" xfId="0" applyFont="1" applyFill="1" applyBorder="1" applyAlignment="1" applyProtection="1">
      <alignment horizontal="left" vertical="center" wrapText="1"/>
      <protection locked="0"/>
    </xf>
    <xf numFmtId="0" fontId="6" fillId="0" borderId="82"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6" fillId="28" borderId="31" xfId="0" applyFont="1" applyFill="1" applyBorder="1" applyAlignment="1" applyProtection="1">
      <alignment horizontal="center" vertical="center" wrapText="1"/>
      <protection locked="0"/>
    </xf>
    <xf numFmtId="0" fontId="6" fillId="28" borderId="69" xfId="0" applyFont="1" applyFill="1" applyBorder="1" applyAlignment="1" applyProtection="1">
      <alignment horizontal="center" vertical="center" wrapText="1"/>
      <protection locked="0"/>
    </xf>
    <xf numFmtId="0" fontId="6" fillId="0" borderId="59" xfId="105" applyFont="1" applyFill="1" applyBorder="1" applyAlignment="1" applyProtection="1">
      <alignment horizontal="center" vertical="center" wrapText="1"/>
      <protection/>
    </xf>
    <xf numFmtId="0" fontId="6" fillId="0" borderId="68" xfId="105" applyFont="1" applyFill="1" applyBorder="1" applyAlignment="1" applyProtection="1">
      <alignment horizontal="center" vertical="center" wrapText="1"/>
      <protection/>
    </xf>
    <xf numFmtId="0" fontId="6" fillId="0" borderId="0" xfId="105" applyFont="1" applyFill="1" applyBorder="1" applyAlignment="1" applyProtection="1">
      <alignment horizontal="center" vertical="center" wrapText="1"/>
      <protection/>
    </xf>
    <xf numFmtId="0" fontId="6" fillId="0" borderId="58" xfId="105" applyFont="1" applyFill="1" applyBorder="1" applyAlignment="1" applyProtection="1">
      <alignment horizontal="center" vertical="center" wrapText="1"/>
      <protection/>
    </xf>
    <xf numFmtId="0" fontId="6" fillId="0" borderId="35" xfId="105" applyFont="1" applyFill="1" applyBorder="1" applyAlignment="1" applyProtection="1">
      <alignment horizontal="center" vertical="center" wrapText="1"/>
      <protection/>
    </xf>
    <xf numFmtId="0" fontId="6" fillId="0" borderId="34" xfId="105" applyFont="1" applyFill="1" applyBorder="1" applyAlignment="1" applyProtection="1">
      <alignment horizontal="center" vertical="center" wrapText="1"/>
      <protection/>
    </xf>
    <xf numFmtId="0" fontId="6" fillId="0" borderId="0" xfId="9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52" xfId="0" applyFont="1" applyFill="1" applyBorder="1" applyAlignment="1" applyProtection="1">
      <alignment horizontal="left" vertical="center" wrapText="1"/>
      <protection/>
    </xf>
    <xf numFmtId="0" fontId="6" fillId="0" borderId="58" xfId="0" applyFont="1" applyFill="1" applyBorder="1" applyAlignment="1" applyProtection="1">
      <alignment horizontal="left" vertical="center" wrapText="1"/>
      <protection/>
    </xf>
    <xf numFmtId="0" fontId="6" fillId="0" borderId="61" xfId="0" applyFont="1" applyFill="1" applyBorder="1" applyAlignment="1" applyProtection="1">
      <alignment horizontal="left" vertical="center" wrapText="1"/>
      <protection/>
    </xf>
    <xf numFmtId="0" fontId="6" fillId="0" borderId="34"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69"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68" xfId="0" applyFont="1" applyFill="1" applyBorder="1" applyAlignment="1" applyProtection="1">
      <alignment horizontal="left" vertical="center" wrapText="1"/>
      <protection/>
    </xf>
    <xf numFmtId="0" fontId="6" fillId="0" borderId="85" xfId="0" applyFont="1" applyFill="1" applyBorder="1" applyAlignment="1" applyProtection="1">
      <alignment horizontal="left" vertical="center" wrapText="1"/>
      <protection/>
    </xf>
    <xf numFmtId="0" fontId="6" fillId="0" borderId="71" xfId="0" applyFont="1" applyFill="1" applyBorder="1" applyAlignment="1" applyProtection="1">
      <alignment horizontal="left" vertical="center" wrapText="1"/>
      <protection/>
    </xf>
    <xf numFmtId="0" fontId="19" fillId="0" borderId="0" xfId="9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7" fillId="7" borderId="19" xfId="0" applyFont="1" applyFill="1" applyBorder="1" applyAlignment="1">
      <alignment horizontal="center" vertical="top" wrapText="1"/>
    </xf>
    <xf numFmtId="0" fontId="7" fillId="7" borderId="12" xfId="0" applyFont="1" applyFill="1" applyBorder="1" applyAlignment="1">
      <alignment horizontal="center" vertical="top" wrapText="1"/>
    </xf>
    <xf numFmtId="0" fontId="6" fillId="24" borderId="14" xfId="0" applyFont="1" applyFill="1" applyBorder="1" applyAlignment="1">
      <alignment horizontal="center" vertical="center"/>
    </xf>
    <xf numFmtId="0" fontId="0" fillId="0" borderId="14" xfId="0" applyBorder="1" applyAlignment="1">
      <alignment/>
    </xf>
    <xf numFmtId="0" fontId="0" fillId="0" borderId="12" xfId="0" applyBorder="1" applyAlignment="1">
      <alignment/>
    </xf>
    <xf numFmtId="0" fontId="7" fillId="7" borderId="20" xfId="0" applyFont="1" applyFill="1" applyBorder="1" applyAlignment="1">
      <alignment horizontal="center" vertical="top" wrapText="1"/>
    </xf>
    <xf numFmtId="0" fontId="0" fillId="0" borderId="21" xfId="0" applyBorder="1" applyAlignment="1">
      <alignment/>
    </xf>
    <xf numFmtId="0" fontId="7" fillId="7" borderId="20" xfId="0" applyFont="1" applyFill="1" applyBorder="1" applyAlignment="1">
      <alignment horizontal="center" vertical="center" wrapText="1"/>
    </xf>
    <xf numFmtId="0" fontId="7" fillId="7" borderId="12" xfId="0" applyFont="1" applyFill="1" applyBorder="1" applyAlignment="1">
      <alignment horizontal="center" vertical="center" wrapText="1"/>
    </xf>
    <xf numFmtId="49" fontId="7" fillId="7" borderId="45" xfId="0" applyNumberFormat="1" applyFont="1" applyFill="1" applyBorder="1" applyAlignment="1" applyProtection="1">
      <alignment horizontal="left" vertical="center" wrapText="1"/>
      <protection/>
    </xf>
    <xf numFmtId="49" fontId="7" fillId="7" borderId="0" xfId="0" applyNumberFormat="1" applyFont="1" applyFill="1" applyBorder="1" applyAlignment="1" applyProtection="1">
      <alignment horizontal="left" vertical="center" wrapText="1"/>
      <protection/>
    </xf>
    <xf numFmtId="49" fontId="7" fillId="7" borderId="58" xfId="0" applyNumberFormat="1" applyFont="1" applyFill="1" applyBorder="1" applyAlignment="1" applyProtection="1">
      <alignment horizontal="left" vertical="center" wrapText="1"/>
      <protection/>
    </xf>
    <xf numFmtId="49" fontId="21" fillId="7" borderId="31" xfId="0" applyNumberFormat="1" applyFont="1" applyFill="1" applyBorder="1" applyAlignment="1" applyProtection="1">
      <alignment horizontal="left" vertical="center" wrapText="1"/>
      <protection/>
    </xf>
    <xf numFmtId="49" fontId="21" fillId="7" borderId="54" xfId="0" applyNumberFormat="1" applyFont="1" applyFill="1" applyBorder="1" applyAlignment="1" applyProtection="1">
      <alignment horizontal="left" vertical="center" wrapText="1"/>
      <protection/>
    </xf>
    <xf numFmtId="49" fontId="21" fillId="7" borderId="30" xfId="0" applyNumberFormat="1" applyFont="1" applyFill="1" applyBorder="1" applyAlignment="1" applyProtection="1">
      <alignment horizontal="left" vertical="center" wrapText="1"/>
      <protection/>
    </xf>
    <xf numFmtId="0" fontId="79" fillId="0" borderId="0" xfId="106" applyFont="1" applyAlignment="1">
      <alignment vertical="center" wrapText="1"/>
      <protection/>
    </xf>
    <xf numFmtId="0" fontId="0" fillId="0" borderId="0" xfId="106" applyAlignment="1">
      <alignment vertical="center" wrapText="1"/>
      <protection/>
    </xf>
    <xf numFmtId="0" fontId="72" fillId="29" borderId="40" xfId="113" applyFill="1" applyBorder="1" applyAlignment="1" applyProtection="1">
      <alignment horizontal="left" vertical="top" wrapText="1"/>
      <protection/>
    </xf>
    <xf numFmtId="0" fontId="0" fillId="0" borderId="0" xfId="105" applyAlignment="1">
      <alignment horizontal="left" wrapText="1"/>
      <protection/>
    </xf>
    <xf numFmtId="0" fontId="65" fillId="0" borderId="0" xfId="91" applyFont="1" applyFill="1" applyBorder="1" applyAlignment="1" applyProtection="1">
      <alignment horizontal="left" vertical="center" wrapText="1"/>
      <protection/>
    </xf>
    <xf numFmtId="0" fontId="79" fillId="0" borderId="0" xfId="106" applyFont="1" applyAlignment="1">
      <alignment wrapText="1"/>
      <protection/>
    </xf>
    <xf numFmtId="0" fontId="0" fillId="0" borderId="0" xfId="106" applyAlignment="1">
      <alignment wrapText="1"/>
      <protection/>
    </xf>
    <xf numFmtId="0" fontId="6" fillId="0" borderId="16"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7" fillId="0" borderId="98" xfId="0" applyFont="1" applyBorder="1" applyAlignment="1">
      <alignment horizontal="left" vertical="center" wrapText="1"/>
    </xf>
    <xf numFmtId="0" fontId="7" fillId="0" borderId="66" xfId="0" applyFont="1" applyBorder="1" applyAlignment="1">
      <alignment horizontal="left" vertical="center" wrapText="1"/>
    </xf>
    <xf numFmtId="0" fontId="7" fillId="0" borderId="77" xfId="0" applyFont="1" applyBorder="1" applyAlignment="1">
      <alignment horizontal="left" vertical="center" wrapText="1"/>
    </xf>
    <xf numFmtId="0" fontId="21" fillId="7" borderId="11" xfId="0" applyFont="1" applyFill="1" applyBorder="1" applyAlignment="1">
      <alignment horizontal="center" vertical="center" wrapText="1"/>
    </xf>
    <xf numFmtId="0" fontId="21" fillId="7" borderId="65" xfId="0" applyFont="1" applyFill="1" applyBorder="1" applyAlignment="1">
      <alignment horizontal="center" vertical="center"/>
    </xf>
    <xf numFmtId="0" fontId="7" fillId="0" borderId="0" xfId="0" applyFont="1" applyBorder="1" applyAlignment="1">
      <alignment vertical="center" wrapText="1"/>
    </xf>
    <xf numFmtId="0" fontId="7" fillId="0" borderId="32" xfId="0" applyFont="1" applyBorder="1" applyAlignment="1">
      <alignment vertical="center" wrapTex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32" xfId="0" applyFont="1" applyBorder="1" applyAlignment="1">
      <alignment vertical="center" wrapText="1"/>
    </xf>
  </cellXfs>
  <cellStyles count="14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3 2" xfId="73"/>
    <cellStyle name="Comma 3 3" xfId="74"/>
    <cellStyle name="Currency" xfId="75"/>
    <cellStyle name="Currency [0]" xfId="76"/>
    <cellStyle name="Currency 2" xfId="77"/>
    <cellStyle name="Explanatory Text" xfId="78"/>
    <cellStyle name="Explanatory Text 2" xfId="79"/>
    <cellStyle name="Followed Hyperlink" xfId="80"/>
    <cellStyle name="Good" xfId="81"/>
    <cellStyle name="Good 2" xfId="82"/>
    <cellStyle name="Heading 1" xfId="83"/>
    <cellStyle name="Heading 1 2" xfId="84"/>
    <cellStyle name="Heading 2" xfId="85"/>
    <cellStyle name="Heading 2 2" xfId="86"/>
    <cellStyle name="Heading 3" xfId="87"/>
    <cellStyle name="Heading 3 2" xfId="88"/>
    <cellStyle name="Heading 4" xfId="89"/>
    <cellStyle name="Heading 4 2" xfId="90"/>
    <cellStyle name="Hyperlink" xfId="91"/>
    <cellStyle name="Hyperlink 2" xfId="92"/>
    <cellStyle name="Hyperlink 2 2" xfId="93"/>
    <cellStyle name="Hyperlink 2 3" xfId="94"/>
    <cellStyle name="Hyperlink 2 4" xfId="95"/>
    <cellStyle name="Hyperlink 3" xfId="96"/>
    <cellStyle name="Hyperlink 4" xfId="97"/>
    <cellStyle name="Input" xfId="98"/>
    <cellStyle name="Input 2" xfId="99"/>
    <cellStyle name="Linked Cell" xfId="100"/>
    <cellStyle name="Linked Cell 2" xfId="101"/>
    <cellStyle name="Neutral" xfId="102"/>
    <cellStyle name="Neutral 2" xfId="103"/>
    <cellStyle name="Neutral 3" xfId="104"/>
    <cellStyle name="Normal 2" xfId="105"/>
    <cellStyle name="Normal 2 2" xfId="106"/>
    <cellStyle name="Normal 2 2 2" xfId="107"/>
    <cellStyle name="Normal 2 3" xfId="108"/>
    <cellStyle name="Normal 2_Incoterm" xfId="109"/>
    <cellStyle name="Normal 3" xfId="110"/>
    <cellStyle name="Normal 3 2" xfId="111"/>
    <cellStyle name="Normal 3 2 2" xfId="112"/>
    <cellStyle name="Normal 3 3" xfId="113"/>
    <cellStyle name="Normal 3 4" xfId="114"/>
    <cellStyle name="Normal 3_2B. Vaccine_Pricing" xfId="115"/>
    <cellStyle name="Normal 4" xfId="116"/>
    <cellStyle name="Normal 4 2" xfId="117"/>
    <cellStyle name="Normal 4_Incoterm" xfId="118"/>
    <cellStyle name="Normal 5" xfId="119"/>
    <cellStyle name="Normal 5 2" xfId="120"/>
    <cellStyle name="Normal 6" xfId="121"/>
    <cellStyle name="Normal 6 2" xfId="122"/>
    <cellStyle name="Normal 7" xfId="123"/>
    <cellStyle name="Normal 8" xfId="124"/>
    <cellStyle name="Normal 9" xfId="125"/>
    <cellStyle name="Note" xfId="126"/>
    <cellStyle name="Note 2" xfId="127"/>
    <cellStyle name="Note 2 2" xfId="128"/>
    <cellStyle name="Note 2 3" xfId="129"/>
    <cellStyle name="Note 3" xfId="130"/>
    <cellStyle name="Note 4" xfId="131"/>
    <cellStyle name="Note 5" xfId="132"/>
    <cellStyle name="Output" xfId="133"/>
    <cellStyle name="Output 2" xfId="134"/>
    <cellStyle name="Percent" xfId="135"/>
    <cellStyle name="Percent 2" xfId="136"/>
    <cellStyle name="Percent 2 2" xfId="137"/>
    <cellStyle name="Percent 2 3" xfId="138"/>
    <cellStyle name="Percent 2 4" xfId="139"/>
    <cellStyle name="Percent 3" xfId="140"/>
    <cellStyle name="Percent 3 2" xfId="141"/>
    <cellStyle name="Percent 3 2 2" xfId="142"/>
    <cellStyle name="Percent 3 3" xfId="143"/>
    <cellStyle name="Percent 4" xfId="144"/>
    <cellStyle name="Percent 4 2" xfId="145"/>
    <cellStyle name="Percent 5" xfId="146"/>
    <cellStyle name="Percent 6" xfId="147"/>
    <cellStyle name="Percent 7" xfId="148"/>
    <cellStyle name="Percent 8" xfId="149"/>
    <cellStyle name="Prozent 2" xfId="150"/>
    <cellStyle name="Standard 2" xfId="151"/>
    <cellStyle name="Standard 3" xfId="152"/>
    <cellStyle name="Standard 4" xfId="153"/>
    <cellStyle name="Title" xfId="154"/>
    <cellStyle name="Title 2" xfId="155"/>
    <cellStyle name="Total" xfId="156"/>
    <cellStyle name="Total 2" xfId="157"/>
    <cellStyle name="Warning Text" xfId="158"/>
    <cellStyle name="Warning Text 2" xfId="159"/>
  </cellStyles>
  <dxfs count="11">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ill>
        <patternFill>
          <bgColor indexed="41"/>
        </patternFill>
      </fill>
    </dxf>
    <dxf>
      <font>
        <color auto="1"/>
      </font>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awej\Local%20Settings\Temporary%20Internet%20Files\OLK4F7\JRF_data_for_2008_english_with_changes_14_no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RF\Revision_Process\2016_revision\WHO_UNICEF_JRF_EN_v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over Page"/>
      <sheetName val="1. Reported Cases"/>
      <sheetName val="2. Schedule-Source"/>
      <sheetName val="3.School_and_Add_Imm_delivery_"/>
      <sheetName val="4A. Routine Coverage"/>
      <sheetName val="4B. Coverage Surveys"/>
      <sheetName val="5. Official Estimates"/>
      <sheetName val="6A. Indicators-1"/>
      <sheetName val="6B. Indicators-2"/>
      <sheetName val="8. Supplementary"/>
      <sheetName val="Instructions"/>
      <sheetName val="Instr_Schedule"/>
      <sheetName val="drop_down_lis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Page"/>
      <sheetName val="1. Reported Cases"/>
      <sheetName val="2A. Schedule"/>
      <sheetName val="2B.Procurement_pricing"/>
      <sheetName val="3.School_Imm_delivery"/>
      <sheetName val="4A. Routine Coverage"/>
      <sheetName val="4B. Coverage Surveys"/>
      <sheetName val="5. Official Estimates"/>
      <sheetName val="6. Indicators"/>
      <sheetName val="8. Supplementary"/>
      <sheetName val="9_General_comments"/>
      <sheetName val="Instructions"/>
      <sheetName val="Incoterm"/>
      <sheetName val="Instr_Schedule"/>
      <sheetName val="drop_down_lists"/>
    </sheetNames>
    <sheetDataSet>
      <sheetData sheetId="14">
        <row r="3">
          <cell r="E3">
            <v>2017</v>
          </cell>
          <cell r="H3" t="str">
            <v>[WHO_UNICEF_JRF_EN_v5.xls]</v>
          </cell>
        </row>
        <row r="4">
          <cell r="E4">
            <v>2018</v>
          </cell>
        </row>
        <row r="5">
          <cell r="E5">
            <v>2019</v>
          </cell>
        </row>
        <row r="6">
          <cell r="E6">
            <v>2020</v>
          </cell>
        </row>
        <row r="7">
          <cell r="E7">
            <v>2021</v>
          </cell>
        </row>
        <row r="8">
          <cell r="E8">
            <v>2022</v>
          </cell>
        </row>
        <row r="9">
          <cell r="E9">
            <v>2023</v>
          </cell>
        </row>
        <row r="10">
          <cell r="E10">
            <v>2024</v>
          </cell>
        </row>
        <row r="11">
          <cell r="E11">
            <v>2025</v>
          </cell>
        </row>
        <row r="12">
          <cell r="E12">
            <v>2026</v>
          </cell>
        </row>
        <row r="13">
          <cell r="E13">
            <v>2027</v>
          </cell>
        </row>
        <row r="14">
          <cell r="E14">
            <v>2028</v>
          </cell>
        </row>
        <row r="15">
          <cell r="E15">
            <v>2029</v>
          </cell>
        </row>
        <row r="16">
          <cell r="E16">
            <v>2030</v>
          </cell>
        </row>
        <row r="17">
          <cell r="E17">
            <v>2031</v>
          </cell>
        </row>
        <row r="18">
          <cell r="E18">
            <v>2032</v>
          </cell>
        </row>
        <row r="19">
          <cell r="E19">
            <v>2033</v>
          </cell>
        </row>
        <row r="20">
          <cell r="E20">
            <v>2034</v>
          </cell>
        </row>
        <row r="21">
          <cell r="E21">
            <v>2035</v>
          </cell>
        </row>
        <row r="22">
          <cell r="E22">
            <v>2036</v>
          </cell>
        </row>
        <row r="23">
          <cell r="E23">
            <v>2037</v>
          </cell>
        </row>
        <row r="24">
          <cell r="E24">
            <v>2038</v>
          </cell>
          <cell r="F24" t="str">
            <v>Yes</v>
          </cell>
        </row>
        <row r="25">
          <cell r="E25">
            <v>2039</v>
          </cell>
          <cell r="F25" t="str">
            <v>No</v>
          </cell>
        </row>
        <row r="26">
          <cell r="F26" t="str">
            <v>NR</v>
          </cell>
        </row>
        <row r="29">
          <cell r="F29" t="str">
            <v>Yes</v>
          </cell>
        </row>
        <row r="30">
          <cell r="F30" t="str">
            <v>No</v>
          </cell>
        </row>
        <row r="33">
          <cell r="F33" t="str">
            <v>Yes</v>
          </cell>
        </row>
        <row r="34">
          <cell r="F34" t="str">
            <v>No</v>
          </cell>
        </row>
        <row r="35">
          <cell r="F35" t="str">
            <v>NR</v>
          </cell>
        </row>
        <row r="36">
          <cell r="F36" t="str">
            <v>ND</v>
          </cell>
        </row>
        <row r="44">
          <cell r="F44" t="str">
            <v>Yes</v>
          </cell>
        </row>
        <row r="45">
          <cell r="F45" t="str">
            <v>No</v>
          </cell>
        </row>
        <row r="46">
          <cell r="F46" t="str">
            <v>ND</v>
          </cell>
        </row>
        <row r="182">
          <cell r="D182" t="str">
            <v>BCG</v>
          </cell>
        </row>
        <row r="183">
          <cell r="D183" t="str">
            <v>bOPV1,3</v>
          </cell>
        </row>
        <row r="184">
          <cell r="D184" t="str">
            <v>Cholera</v>
          </cell>
        </row>
        <row r="185">
          <cell r="D185" t="str">
            <v>Diphteria</v>
          </cell>
        </row>
        <row r="186">
          <cell r="D186" t="str">
            <v>Td</v>
          </cell>
        </row>
        <row r="187">
          <cell r="D187" t="str">
            <v>TT</v>
          </cell>
        </row>
        <row r="188">
          <cell r="D188" t="str">
            <v>DT</v>
          </cell>
        </row>
        <row r="189">
          <cell r="D189" t="str">
            <v>DT-IPV</v>
          </cell>
        </row>
        <row r="190">
          <cell r="D190" t="str">
            <v>DTaP</v>
          </cell>
        </row>
        <row r="191">
          <cell r="D191" t="str">
            <v>DTaP-HepB</v>
          </cell>
        </row>
        <row r="192">
          <cell r="D192" t="str">
            <v>DTaP-HepB-Hib-IPV</v>
          </cell>
        </row>
        <row r="193">
          <cell r="D193" t="str">
            <v>DTaP-HepB-
IPV</v>
          </cell>
        </row>
        <row r="194">
          <cell r="D194" t="str">
            <v>DTaP-Hib</v>
          </cell>
        </row>
        <row r="195">
          <cell r="D195" t="str">
            <v>DTaP-Hib-IPV</v>
          </cell>
        </row>
        <row r="196">
          <cell r="D196" t="str">
            <v>DTaP-IPV</v>
          </cell>
        </row>
        <row r="197">
          <cell r="D197" t="str">
            <v>aP</v>
          </cell>
        </row>
        <row r="198">
          <cell r="D198" t="str">
            <v>TdaP</v>
          </cell>
        </row>
        <row r="199">
          <cell r="D199" t="str">
            <v>TdaP-IPV</v>
          </cell>
        </row>
        <row r="200">
          <cell r="D200" t="str">
            <v>Td-IPV</v>
          </cell>
        </row>
        <row r="201">
          <cell r="D201" t="str">
            <v>DTwP</v>
          </cell>
        </row>
        <row r="202">
          <cell r="D202" t="str">
            <v>DTwP-HepB</v>
          </cell>
        </row>
        <row r="203">
          <cell r="D203" t="str">
            <v>DTwP-HepB-Hib</v>
          </cell>
        </row>
        <row r="204">
          <cell r="D204" t="str">
            <v>DTwP-Hib</v>
          </cell>
        </row>
        <row r="205">
          <cell r="D205" t="str">
            <v>HepA_Adult</v>
          </cell>
        </row>
        <row r="206">
          <cell r="D206" t="str">
            <v>HepA_Pediatric</v>
          </cell>
        </row>
        <row r="207">
          <cell r="D207" t="str">
            <v>HepB_Adult</v>
          </cell>
        </row>
        <row r="208">
          <cell r="D208" t="str">
            <v>HepB_Pediatric</v>
          </cell>
        </row>
        <row r="209">
          <cell r="D209" t="str">
            <v>Hib</v>
          </cell>
        </row>
        <row r="210">
          <cell r="D210" t="str">
            <v>HPV</v>
          </cell>
        </row>
        <row r="211">
          <cell r="D211" t="str">
            <v>Influenza_Adult</v>
          </cell>
        </row>
        <row r="212">
          <cell r="D212" t="str">
            <v>Influenza_Pediatric</v>
          </cell>
        </row>
        <row r="213">
          <cell r="D213" t="str">
            <v>IPV</v>
          </cell>
        </row>
        <row r="214">
          <cell r="D214" t="str">
            <v>JE_Inactd</v>
          </cell>
        </row>
        <row r="215">
          <cell r="D215" t="str">
            <v>JE_LiveAtd</v>
          </cell>
        </row>
        <row r="216">
          <cell r="D216" t="str">
            <v>Measles</v>
          </cell>
        </row>
        <row r="217">
          <cell r="D217" t="str">
            <v>Mumps</v>
          </cell>
        </row>
        <row r="218">
          <cell r="D218" t="str">
            <v>MM</v>
          </cell>
        </row>
        <row r="219">
          <cell r="D219" t="str">
            <v>MR</v>
          </cell>
        </row>
        <row r="220">
          <cell r="D220" t="str">
            <v>MMR</v>
          </cell>
        </row>
        <row r="221">
          <cell r="D221" t="str">
            <v>MMRV</v>
          </cell>
        </row>
        <row r="222">
          <cell r="D222" t="str">
            <v>Men A</v>
          </cell>
        </row>
        <row r="223">
          <cell r="D223" t="str">
            <v>Men AC</v>
          </cell>
        </row>
        <row r="224">
          <cell r="D224" t="str">
            <v>Men ACW</v>
          </cell>
        </row>
        <row r="225">
          <cell r="D225" t="str">
            <v>Men ACYW-135 conj.</v>
          </cell>
        </row>
        <row r="226">
          <cell r="D226" t="str">
            <v>Men ACYW-135 PS</v>
          </cell>
        </row>
        <row r="227">
          <cell r="D227" t="str">
            <v>Men B</v>
          </cell>
        </row>
        <row r="228">
          <cell r="D228" t="str">
            <v>MenC_conj</v>
          </cell>
        </row>
        <row r="229">
          <cell r="D229" t="str">
            <v>mOPV1</v>
          </cell>
        </row>
        <row r="230">
          <cell r="D230" t="str">
            <v>mOPV2</v>
          </cell>
        </row>
        <row r="231">
          <cell r="D231" t="str">
            <v>mOPV3</v>
          </cell>
        </row>
        <row r="232">
          <cell r="D232" t="str">
            <v>PCV (Pneumo_ conj)</v>
          </cell>
        </row>
        <row r="233">
          <cell r="D233" t="str">
            <v>Pneumo_ps</v>
          </cell>
        </row>
        <row r="234">
          <cell r="D234" t="str">
            <v>Rabies</v>
          </cell>
        </row>
        <row r="235">
          <cell r="D235" t="str">
            <v>Rotavirus</v>
          </cell>
        </row>
        <row r="236">
          <cell r="D236" t="str">
            <v>Rubella</v>
          </cell>
        </row>
        <row r="237">
          <cell r="D237" t="str">
            <v>TBE (pediatric)</v>
          </cell>
        </row>
        <row r="238">
          <cell r="D238" t="str">
            <v>TBE (adult)</v>
          </cell>
        </row>
        <row r="239">
          <cell r="D239" t="str">
            <v>Typhoid</v>
          </cell>
        </row>
        <row r="240">
          <cell r="D240" t="str">
            <v>Varicella</v>
          </cell>
        </row>
        <row r="241">
          <cell r="D241" t="str">
            <v>YF</v>
          </cell>
        </row>
        <row r="255">
          <cell r="D255" t="str">
            <v>Yes</v>
          </cell>
        </row>
        <row r="256">
          <cell r="D256" t="str">
            <v>No</v>
          </cell>
        </row>
        <row r="257">
          <cell r="D257"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o.int/immunization/monitoring_surveillance/data/en/" TargetMode="External" /><Relationship Id="rId2" Type="http://schemas.openxmlformats.org/officeDocument/2006/relationships/hyperlink" Target="http://www.childinfo.org/Immunization.ht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nitag-resource.org/media-center/document/1517-evaluation-tool-for-national-immunization-technical-advisory-groups-nitags"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ccwbo.org/products-and-services/trade-facilitation/incoterms-2010/the-incoterms-rules/"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who.int/immunization/programmes_systems/financing/en/"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R36"/>
  <sheetViews>
    <sheetView showGridLines="0" showRowColHeaders="0" tabSelected="1" workbookViewId="0" topLeftCell="A1">
      <selection activeCell="D22" sqref="D22:H22"/>
    </sheetView>
  </sheetViews>
  <sheetFormatPr defaultColWidth="9.140625" defaultRowHeight="12.75"/>
  <cols>
    <col min="1" max="1" width="9.140625" style="2" customWidth="1"/>
    <col min="2" max="2" width="42.28125" style="2" customWidth="1"/>
    <col min="3" max="3" width="11.57421875" style="2" customWidth="1"/>
    <col min="4" max="4" width="1.1484375" style="2" customWidth="1"/>
    <col min="5" max="5" width="34.57421875" style="2" customWidth="1"/>
    <col min="6" max="6" width="5.57421875" style="2" bestFit="1" customWidth="1"/>
    <col min="7" max="7" width="6.7109375" style="2" bestFit="1" customWidth="1"/>
    <col min="8" max="8" width="5.8515625" style="2" customWidth="1"/>
    <col min="9" max="9" width="10.57421875" style="2" customWidth="1"/>
    <col min="10" max="14" width="9.140625" style="2" customWidth="1"/>
    <col min="15" max="206" width="8.8515625" style="2" customWidth="1"/>
    <col min="207" max="16384" width="9.140625" style="2" customWidth="1"/>
  </cols>
  <sheetData>
    <row r="1" ht="15" customHeight="1"/>
    <row r="2" spans="1:8" s="1" customFormat="1" ht="42" customHeight="1">
      <c r="A2" s="519" t="s">
        <v>889</v>
      </c>
      <c r="B2" s="519"/>
      <c r="C2" s="519"/>
      <c r="D2" s="519"/>
      <c r="E2" s="519"/>
      <c r="F2" s="519"/>
      <c r="G2" s="519"/>
      <c r="H2" s="519"/>
    </row>
    <row r="3" spans="1:8" s="1" customFormat="1" ht="42" customHeight="1">
      <c r="A3" s="337"/>
      <c r="B3" s="337"/>
      <c r="C3" s="338" t="str">
        <f>IF(B19="","&lt;&lt;Nom Pays&gt;&gt;",B19)</f>
        <v>&lt;&lt;Nom Pays&gt;&gt;</v>
      </c>
      <c r="D3" s="337"/>
      <c r="E3" s="337"/>
      <c r="F3" s="337"/>
      <c r="G3" s="337"/>
      <c r="H3" s="337"/>
    </row>
    <row r="4" spans="1:8" s="1" customFormat="1" ht="19.5">
      <c r="A4" s="519" t="s">
        <v>832</v>
      </c>
      <c r="B4" s="519"/>
      <c r="C4" s="519"/>
      <c r="D4" s="519"/>
      <c r="E4" s="519"/>
      <c r="F4" s="519"/>
      <c r="G4" s="519"/>
      <c r="H4" s="519"/>
    </row>
    <row r="5" spans="1:8" s="6" customFormat="1" ht="12.75">
      <c r="A5" s="8"/>
      <c r="B5" s="8"/>
      <c r="C5" s="8"/>
      <c r="D5" s="8"/>
      <c r="E5" s="8"/>
      <c r="F5" s="8"/>
      <c r="G5" s="8"/>
      <c r="H5" s="8"/>
    </row>
    <row r="6" spans="1:8" s="6" customFormat="1" ht="12.75">
      <c r="A6" s="520" t="s">
        <v>11</v>
      </c>
      <c r="B6" s="520"/>
      <c r="C6" s="520"/>
      <c r="D6" s="520"/>
      <c r="E6" s="520"/>
      <c r="F6" s="520"/>
      <c r="G6" s="520"/>
      <c r="H6" s="520"/>
    </row>
    <row r="7" spans="1:8" s="6" customFormat="1" ht="12.75">
      <c r="A7" s="520" t="s">
        <v>12</v>
      </c>
      <c r="B7" s="520"/>
      <c r="C7" s="520"/>
      <c r="D7" s="520"/>
      <c r="E7" s="520"/>
      <c r="F7" s="520"/>
      <c r="G7" s="520"/>
      <c r="H7" s="520"/>
    </row>
    <row r="8" spans="1:8" s="6" customFormat="1" ht="12.75">
      <c r="A8" s="520" t="s">
        <v>13</v>
      </c>
      <c r="B8" s="520"/>
      <c r="C8" s="520"/>
      <c r="D8" s="520"/>
      <c r="E8" s="520"/>
      <c r="F8" s="520"/>
      <c r="G8" s="520"/>
      <c r="H8" s="520"/>
    </row>
    <row r="9" spans="1:11" s="6" customFormat="1" ht="23.25" customHeight="1">
      <c r="A9" s="31"/>
      <c r="B9" s="525" t="s">
        <v>509</v>
      </c>
      <c r="C9" s="526"/>
      <c r="D9" s="526"/>
      <c r="E9" s="526"/>
      <c r="F9" s="526"/>
      <c r="G9" s="527"/>
      <c r="H9" s="144"/>
      <c r="J9" s="172"/>
      <c r="K9" s="172"/>
    </row>
    <row r="10" spans="2:11" s="6" customFormat="1" ht="27" customHeight="1">
      <c r="B10" s="522" t="s">
        <v>0</v>
      </c>
      <c r="C10" s="523"/>
      <c r="D10" s="523"/>
      <c r="E10" s="523"/>
      <c r="F10" s="523"/>
      <c r="G10" s="524"/>
      <c r="H10" s="40"/>
      <c r="J10" s="172"/>
      <c r="K10" s="172"/>
    </row>
    <row r="11" spans="1:8" s="6" customFormat="1" ht="12.75">
      <c r="A11" s="31"/>
      <c r="B11" s="528" t="s">
        <v>722</v>
      </c>
      <c r="C11" s="529"/>
      <c r="D11" s="529"/>
      <c r="E11" s="529"/>
      <c r="F11" s="529"/>
      <c r="G11" s="529"/>
      <c r="H11" s="31"/>
    </row>
    <row r="12" spans="1:8" s="6" customFormat="1" ht="12.75">
      <c r="A12" s="31"/>
      <c r="B12" s="530"/>
      <c r="C12" s="530"/>
      <c r="D12" s="530"/>
      <c r="E12" s="530"/>
      <c r="F12" s="530"/>
      <c r="G12" s="530"/>
      <c r="H12" s="31"/>
    </row>
    <row r="13" spans="1:8" s="6" customFormat="1" ht="12.75">
      <c r="A13" s="31"/>
      <c r="B13" s="67"/>
      <c r="C13" s="67"/>
      <c r="D13" s="67"/>
      <c r="E13" s="67"/>
      <c r="F13" s="67"/>
      <c r="G13" s="67"/>
      <c r="H13" s="31"/>
    </row>
    <row r="14" spans="1:8" s="6" customFormat="1" ht="15.75" customHeight="1">
      <c r="A14" s="31"/>
      <c r="B14" s="531" t="s">
        <v>1</v>
      </c>
      <c r="C14" s="531"/>
      <c r="D14" s="531"/>
      <c r="E14" s="531"/>
      <c r="F14" s="531"/>
      <c r="G14" s="531"/>
      <c r="H14" s="31"/>
    </row>
    <row r="15" spans="1:8" s="6" customFormat="1" ht="15.75" customHeight="1">
      <c r="A15" s="31"/>
      <c r="B15" s="521" t="s">
        <v>801</v>
      </c>
      <c r="C15" s="521"/>
      <c r="D15" s="521"/>
      <c r="E15" s="521"/>
      <c r="F15" s="160"/>
      <c r="G15" s="160"/>
      <c r="H15" s="31"/>
    </row>
    <row r="16" spans="1:9" s="6" customFormat="1" ht="15.75" customHeight="1">
      <c r="A16" s="31"/>
      <c r="B16" s="532" t="s">
        <v>404</v>
      </c>
      <c r="C16" s="532"/>
      <c r="D16" s="532"/>
      <c r="E16" s="532"/>
      <c r="F16" s="532"/>
      <c r="G16" s="532"/>
      <c r="H16" s="31"/>
      <c r="I16" s="174"/>
    </row>
    <row r="17" s="6" customFormat="1" ht="10.5">
      <c r="A17" s="7"/>
    </row>
    <row r="18" ht="11.25" thickBot="1"/>
    <row r="19" spans="1:9" ht="21" customHeight="1" thickBot="1">
      <c r="A19" s="9" t="s">
        <v>2</v>
      </c>
      <c r="B19" s="533"/>
      <c r="C19" s="534"/>
      <c r="D19" s="4"/>
      <c r="E19" s="10" t="s">
        <v>3</v>
      </c>
      <c r="F19" s="125"/>
      <c r="G19" s="126"/>
      <c r="H19" s="383">
        <v>2017</v>
      </c>
      <c r="I19" s="5"/>
    </row>
    <row r="20" spans="2:44" ht="15" customHeight="1" thickBot="1">
      <c r="B20" s="237" t="e">
        <f>VLOOKUP(B19,drop_down_lists!B3:C201,2,FALSE)</f>
        <v>#N/A</v>
      </c>
      <c r="N20" s="1"/>
      <c r="P20" s="1"/>
      <c r="R20" s="1"/>
      <c r="T20" s="1"/>
      <c r="V20" s="1"/>
      <c r="X20" s="1"/>
      <c r="Z20" s="1"/>
      <c r="AB20" s="1"/>
      <c r="AD20" s="1"/>
      <c r="AF20" s="1"/>
      <c r="AH20" s="1"/>
      <c r="AJ20" s="1"/>
      <c r="AL20" s="1"/>
      <c r="AN20" s="1"/>
      <c r="AP20" s="1"/>
      <c r="AR20" s="1"/>
    </row>
    <row r="21" spans="1:8" ht="39.75" customHeight="1">
      <c r="A21" s="16" t="s">
        <v>35</v>
      </c>
      <c r="B21" s="72" t="s">
        <v>4</v>
      </c>
      <c r="C21" s="133" t="str">
        <f>HYPERLINK(CONCATENATE(Filename,"Ins0010"),"(instructions)")</f>
        <v>(instructions)</v>
      </c>
      <c r="D21" s="539"/>
      <c r="E21" s="540"/>
      <c r="F21" s="540"/>
      <c r="G21" s="540"/>
      <c r="H21" s="541"/>
    </row>
    <row r="22" spans="1:14" ht="18" customHeight="1">
      <c r="A22" s="17" t="s">
        <v>36</v>
      </c>
      <c r="B22" s="508" t="s">
        <v>5</v>
      </c>
      <c r="C22" s="535"/>
      <c r="D22" s="516"/>
      <c r="E22" s="517"/>
      <c r="F22" s="517"/>
      <c r="G22" s="517"/>
      <c r="H22" s="518"/>
      <c r="N22" s="6"/>
    </row>
    <row r="23" spans="1:14" ht="18" customHeight="1">
      <c r="A23" s="17" t="s">
        <v>59</v>
      </c>
      <c r="B23" s="508" t="s">
        <v>399</v>
      </c>
      <c r="C23" s="509"/>
      <c r="D23" s="516"/>
      <c r="E23" s="517"/>
      <c r="F23" s="517"/>
      <c r="G23" s="517"/>
      <c r="H23" s="518"/>
      <c r="N23" s="6"/>
    </row>
    <row r="24" spans="1:14" ht="38.25" customHeight="1">
      <c r="A24" s="17" t="s">
        <v>37</v>
      </c>
      <c r="B24" s="514" t="s">
        <v>803</v>
      </c>
      <c r="C24" s="515"/>
      <c r="D24" s="516"/>
      <c r="E24" s="517"/>
      <c r="F24" s="517"/>
      <c r="G24" s="517"/>
      <c r="H24" s="518"/>
      <c r="K24" s="5"/>
      <c r="N24" s="6"/>
    </row>
    <row r="25" spans="1:14" ht="18" customHeight="1">
      <c r="A25" s="17" t="s">
        <v>38</v>
      </c>
      <c r="B25" s="508" t="s">
        <v>781</v>
      </c>
      <c r="C25" s="509"/>
      <c r="D25" s="511"/>
      <c r="E25" s="512"/>
      <c r="F25" s="512"/>
      <c r="G25" s="512"/>
      <c r="H25" s="513"/>
      <c r="K25" s="5"/>
      <c r="N25" s="6"/>
    </row>
    <row r="26" spans="1:14" ht="37.5" customHeight="1">
      <c r="A26" s="17" t="s">
        <v>39</v>
      </c>
      <c r="B26" s="514" t="s">
        <v>1515</v>
      </c>
      <c r="C26" s="515"/>
      <c r="D26" s="516"/>
      <c r="E26" s="517"/>
      <c r="F26" s="517"/>
      <c r="G26" s="517"/>
      <c r="H26" s="518"/>
      <c r="N26" s="6"/>
    </row>
    <row r="27" spans="1:14" ht="18" customHeight="1">
      <c r="A27" s="17" t="s">
        <v>40</v>
      </c>
      <c r="B27" s="508" t="s">
        <v>782</v>
      </c>
      <c r="C27" s="510"/>
      <c r="D27" s="511"/>
      <c r="E27" s="512"/>
      <c r="F27" s="512"/>
      <c r="G27" s="512"/>
      <c r="H27" s="513"/>
      <c r="N27" s="6"/>
    </row>
    <row r="28" spans="1:14" ht="29.25" customHeight="1" thickBot="1">
      <c r="A28" s="319" t="s">
        <v>41</v>
      </c>
      <c r="B28" s="127" t="s">
        <v>890</v>
      </c>
      <c r="C28" s="134" t="str">
        <f>HYPERLINK(CONCATENATE(Filename,"Ins0080"),"(instructions)")</f>
        <v>(instructions)</v>
      </c>
      <c r="D28" s="536"/>
      <c r="E28" s="537"/>
      <c r="F28" s="537"/>
      <c r="G28" s="537"/>
      <c r="H28" s="538"/>
      <c r="N28" s="6"/>
    </row>
    <row r="29" ht="10.5">
      <c r="N29" s="6"/>
    </row>
    <row r="30" spans="7:14" ht="10.5">
      <c r="G30" s="170" t="str">
        <f>HYPERLINK(Filename&amp;"page1","page suivante")</f>
        <v>page suivante</v>
      </c>
      <c r="I30" s="5"/>
      <c r="N30" s="6"/>
    </row>
    <row r="36" ht="10.5">
      <c r="A36" s="71"/>
    </row>
  </sheetData>
  <sheetProtection password="F319" sheet="1" selectLockedCells="1"/>
  <mergeCells count="26">
    <mergeCell ref="B16:G16"/>
    <mergeCell ref="B19:C19"/>
    <mergeCell ref="B24:C24"/>
    <mergeCell ref="B22:C22"/>
    <mergeCell ref="D28:H28"/>
    <mergeCell ref="D21:H21"/>
    <mergeCell ref="D22:H22"/>
    <mergeCell ref="D26:H26"/>
    <mergeCell ref="D23:H23"/>
    <mergeCell ref="B23:C23"/>
    <mergeCell ref="A2:H2"/>
    <mergeCell ref="A8:H8"/>
    <mergeCell ref="A6:H6"/>
    <mergeCell ref="A7:H7"/>
    <mergeCell ref="B15:E15"/>
    <mergeCell ref="B10:G10"/>
    <mergeCell ref="B9:G9"/>
    <mergeCell ref="B11:G12"/>
    <mergeCell ref="B14:G14"/>
    <mergeCell ref="A4:H4"/>
    <mergeCell ref="B25:C25"/>
    <mergeCell ref="B27:C27"/>
    <mergeCell ref="D25:H25"/>
    <mergeCell ref="D27:H27"/>
    <mergeCell ref="B26:C26"/>
    <mergeCell ref="D24:H24"/>
  </mergeCells>
  <dataValidations count="4">
    <dataValidation type="list" allowBlank="1" sqref="F19">
      <formula1>DDL_days</formula1>
    </dataValidation>
    <dataValidation type="list" allowBlank="1" sqref="G19">
      <formula1>DDL_months</formula1>
    </dataValidation>
    <dataValidation type="list" allowBlank="1" showInputMessage="1" prompt="Merci de choisir un pays dans la liste de réponses" error="Only countries from the list can be entered." sqref="B19:C19">
      <formula1>DDL_Country_name</formula1>
    </dataValidation>
    <dataValidation allowBlank="1" showInputMessage="1" showErrorMessage="1" prompt="Un district est défini comme le 3ème niveau administratif (le pays est le 1er, la province/région, le 2ème)." sqref="D28:H28"/>
  </dataValidations>
  <hyperlinks>
    <hyperlink ref="B15:E15" r:id="rId1" display=" (1) OMS (http://www.who.int/immunization/monitoring_surveillance/data/en/ )"/>
    <hyperlink ref="G30" location="page1" display="page1"/>
    <hyperlink ref="B16:G16" r:id="rId2" display="( 2) UNICEF (http://www.childinfo.org/Immunization.htm )"/>
  </hyperlinks>
  <printOptions/>
  <pageMargins left="0.984251968503937" right="0.15748031496062992" top="0.984251968503937" bottom="0.984251968503937" header="0.5118110236220472" footer="0.5118110236220472"/>
  <pageSetup fitToHeight="1" fitToWidth="1" horizontalDpi="600" verticalDpi="600" orientation="landscape" scale="80" r:id="rId3"/>
  <headerFooter alignWithMargins="0">
    <oddFooter>&amp;L&amp;"Verdana,Regular"&amp;8OMS/UNICEF JRF données pour 2016&amp;K000000
&amp;F&amp;R&amp;"Verdana,Regular"&amp;8Section &amp;A, pg. &amp;P</oddFooter>
  </headerFooter>
  <ignoredErrors>
    <ignoredError sqref="A2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2:N50"/>
  <sheetViews>
    <sheetView showGridLines="0" showRowColHeaders="0" workbookViewId="0" topLeftCell="A1">
      <selection activeCell="J19" sqref="J19"/>
    </sheetView>
  </sheetViews>
  <sheetFormatPr defaultColWidth="9.140625" defaultRowHeight="12.75"/>
  <cols>
    <col min="1" max="1" width="10.8515625" style="2" customWidth="1"/>
    <col min="2" max="2" width="12.8515625" style="2" bestFit="1" customWidth="1"/>
    <col min="3" max="3" width="15.28125" style="2" bestFit="1" customWidth="1"/>
    <col min="4" max="4" width="10.421875" style="2" customWidth="1"/>
    <col min="5" max="5" width="11.57421875" style="2" bestFit="1" customWidth="1"/>
    <col min="6" max="6" width="12.57421875" style="2" customWidth="1"/>
    <col min="7" max="7" width="11.7109375" style="2" customWidth="1"/>
    <col min="8" max="8" width="14.57421875" style="2" customWidth="1"/>
    <col min="9" max="9" width="11.421875" style="2" customWidth="1"/>
    <col min="10" max="13" width="8.28125" style="2" customWidth="1"/>
    <col min="14" max="14" width="9.140625" style="2" customWidth="1"/>
    <col min="15" max="16" width="8.8515625" style="2" customWidth="1"/>
    <col min="17" max="16384" width="9.140625" style="2" customWidth="1"/>
  </cols>
  <sheetData>
    <row r="2" spans="1:13" ht="22.5" customHeight="1">
      <c r="A2" s="292" t="s">
        <v>610</v>
      </c>
      <c r="B2" s="292"/>
      <c r="C2" s="292"/>
      <c r="D2" s="292"/>
      <c r="E2" s="292"/>
      <c r="F2" s="292"/>
      <c r="G2" s="292"/>
      <c r="H2" s="292"/>
      <c r="I2" s="292"/>
      <c r="J2" s="292"/>
      <c r="K2" s="292"/>
      <c r="L2" s="292"/>
      <c r="M2" s="292"/>
    </row>
    <row r="3" spans="1:13" ht="10.5">
      <c r="A3" s="5"/>
      <c r="B3" s="5"/>
      <c r="C3" s="5"/>
      <c r="D3" s="5"/>
      <c r="E3" s="5"/>
      <c r="F3" s="5"/>
      <c r="G3" s="5"/>
      <c r="H3" s="5"/>
      <c r="I3" s="5"/>
      <c r="J3" s="5"/>
      <c r="K3" s="5"/>
      <c r="L3" s="5"/>
      <c r="M3" s="5"/>
    </row>
    <row r="4" spans="1:13" ht="10.5">
      <c r="A4" s="88" t="s">
        <v>611</v>
      </c>
      <c r="B4" s="5"/>
      <c r="C4" s="5"/>
      <c r="D4" s="5"/>
      <c r="E4" s="5"/>
      <c r="F4" s="5"/>
      <c r="G4" s="5"/>
      <c r="H4" s="5"/>
      <c r="I4" s="5"/>
      <c r="J4" s="5"/>
      <c r="K4" s="5"/>
      <c r="L4" s="5"/>
      <c r="M4" s="5"/>
    </row>
    <row r="5" spans="1:9" ht="10.5">
      <c r="A5" s="88"/>
      <c r="C5" s="5"/>
      <c r="D5" s="5"/>
      <c r="E5" s="5"/>
      <c r="F5" s="5"/>
      <c r="G5" s="5"/>
      <c r="H5" s="5"/>
      <c r="I5" s="5"/>
    </row>
    <row r="6" spans="1:13" ht="21" customHeight="1">
      <c r="A6" s="131" t="s">
        <v>1324</v>
      </c>
      <c r="C6" s="3"/>
      <c r="F6" s="3"/>
      <c r="G6" s="937"/>
      <c r="H6" s="938"/>
      <c r="I6" s="3"/>
      <c r="J6" s="3"/>
      <c r="K6" s="3"/>
      <c r="L6" s="3"/>
      <c r="M6" s="3"/>
    </row>
    <row r="7" spans="1:13" ht="12" customHeight="1" thickBot="1">
      <c r="A7" s="150" t="str">
        <f>HYPERLINK(CONCATENATE(Filename,"Ins8010_8200"),"(Table instructions)")</f>
        <v>(Table instructions)</v>
      </c>
      <c r="C7" s="3"/>
      <c r="F7" s="3"/>
      <c r="G7" s="158"/>
      <c r="H7" s="236"/>
      <c r="I7" s="238"/>
      <c r="J7" s="3"/>
      <c r="K7" s="3"/>
      <c r="L7" s="3"/>
      <c r="M7" s="3"/>
    </row>
    <row r="8" spans="1:13" ht="54" customHeight="1">
      <c r="A8" s="700"/>
      <c r="B8" s="889" t="s">
        <v>582</v>
      </c>
      <c r="C8" s="42" t="s">
        <v>10</v>
      </c>
      <c r="D8" s="939" t="s">
        <v>92</v>
      </c>
      <c r="E8" s="939" t="s">
        <v>583</v>
      </c>
      <c r="F8" s="163" t="s">
        <v>128</v>
      </c>
      <c r="G8" s="939" t="s">
        <v>584</v>
      </c>
      <c r="H8" s="939" t="s">
        <v>585</v>
      </c>
      <c r="I8" s="42" t="s">
        <v>586</v>
      </c>
      <c r="J8" s="889" t="s">
        <v>587</v>
      </c>
      <c r="K8" s="889"/>
      <c r="L8" s="889"/>
      <c r="M8" s="946"/>
    </row>
    <row r="9" spans="1:13" ht="31.5">
      <c r="A9" s="941"/>
      <c r="B9" s="947"/>
      <c r="C9" s="51" t="str">
        <f>HYPERLINK(CONCATENATE(Filename,"Ins8010_8200_A"),"(instructions)")</f>
        <v>(instructions)</v>
      </c>
      <c r="D9" s="940"/>
      <c r="E9" s="940"/>
      <c r="F9" s="51" t="str">
        <f>HYPERLINK(CONCATENATE(Filename,"Ins8010_8200_D"),"(instructions)")</f>
        <v>(instructions)</v>
      </c>
      <c r="G9" s="940"/>
      <c r="H9" s="940"/>
      <c r="I9" s="51" t="str">
        <f>HYPERLINK(CONCATENATE(Filename,"Ins8010_8200_G"),"(instructions)")</f>
        <v>(instructions)</v>
      </c>
      <c r="J9" s="23" t="s">
        <v>94</v>
      </c>
      <c r="K9" s="23" t="s">
        <v>93</v>
      </c>
      <c r="L9" s="23" t="s">
        <v>95</v>
      </c>
      <c r="M9" s="30" t="s">
        <v>588</v>
      </c>
    </row>
    <row r="10" spans="1:13" ht="21">
      <c r="A10" s="18">
        <v>8010</v>
      </c>
      <c r="B10" s="53"/>
      <c r="C10" s="53"/>
      <c r="D10" s="34"/>
      <c r="E10" s="146" t="s">
        <v>510</v>
      </c>
      <c r="F10" s="36"/>
      <c r="G10" s="52"/>
      <c r="H10" s="52"/>
      <c r="I10" s="315"/>
      <c r="J10" s="52"/>
      <c r="K10" s="52"/>
      <c r="L10" s="52"/>
      <c r="M10" s="54"/>
    </row>
    <row r="11" spans="1:13" ht="18.75" customHeight="1">
      <c r="A11" s="18">
        <v>8020</v>
      </c>
      <c r="B11" s="53"/>
      <c r="C11" s="53"/>
      <c r="D11" s="34"/>
      <c r="E11" s="146" t="s">
        <v>510</v>
      </c>
      <c r="F11" s="36"/>
      <c r="G11" s="52"/>
      <c r="H11" s="52"/>
      <c r="I11" s="315"/>
      <c r="J11" s="52"/>
      <c r="K11" s="52"/>
      <c r="L11" s="52"/>
      <c r="M11" s="54"/>
    </row>
    <row r="12" spans="1:13" ht="18.75" customHeight="1">
      <c r="A12" s="18">
        <v>8030</v>
      </c>
      <c r="B12" s="53"/>
      <c r="C12" s="53"/>
      <c r="D12" s="34"/>
      <c r="E12" s="146" t="s">
        <v>510</v>
      </c>
      <c r="F12" s="36"/>
      <c r="G12" s="52"/>
      <c r="H12" s="52"/>
      <c r="I12" s="315"/>
      <c r="J12" s="52"/>
      <c r="K12" s="52"/>
      <c r="L12" s="52"/>
      <c r="M12" s="54"/>
    </row>
    <row r="13" spans="1:13" ht="18.75" customHeight="1">
      <c r="A13" s="18">
        <v>8040</v>
      </c>
      <c r="B13" s="53"/>
      <c r="C13" s="53"/>
      <c r="D13" s="34"/>
      <c r="E13" s="146" t="s">
        <v>510</v>
      </c>
      <c r="F13" s="36"/>
      <c r="G13" s="52"/>
      <c r="H13" s="52"/>
      <c r="I13" s="315"/>
      <c r="J13" s="52"/>
      <c r="K13" s="52"/>
      <c r="L13" s="52"/>
      <c r="M13" s="54"/>
    </row>
    <row r="14" spans="1:13" ht="18.75" customHeight="1">
      <c r="A14" s="18">
        <v>8050</v>
      </c>
      <c r="B14" s="53"/>
      <c r="C14" s="53"/>
      <c r="D14" s="34"/>
      <c r="E14" s="146" t="s">
        <v>510</v>
      </c>
      <c r="F14" s="36"/>
      <c r="G14" s="52"/>
      <c r="H14" s="52"/>
      <c r="I14" s="315"/>
      <c r="J14" s="52"/>
      <c r="K14" s="52"/>
      <c r="L14" s="52"/>
      <c r="M14" s="54"/>
    </row>
    <row r="15" spans="1:13" ht="18.75" customHeight="1">
      <c r="A15" s="18">
        <v>8060</v>
      </c>
      <c r="B15" s="53"/>
      <c r="C15" s="53"/>
      <c r="D15" s="34"/>
      <c r="E15" s="146" t="s">
        <v>510</v>
      </c>
      <c r="F15" s="36"/>
      <c r="G15" s="52"/>
      <c r="H15" s="52"/>
      <c r="I15" s="315"/>
      <c r="J15" s="52"/>
      <c r="K15" s="52"/>
      <c r="L15" s="52"/>
      <c r="M15" s="54"/>
    </row>
    <row r="16" spans="1:13" ht="18.75" customHeight="1">
      <c r="A16" s="18">
        <v>8070</v>
      </c>
      <c r="B16" s="53"/>
      <c r="C16" s="53"/>
      <c r="D16" s="34"/>
      <c r="E16" s="146" t="s">
        <v>510</v>
      </c>
      <c r="F16" s="36"/>
      <c r="G16" s="52"/>
      <c r="H16" s="52"/>
      <c r="I16" s="315"/>
      <c r="J16" s="52"/>
      <c r="K16" s="52"/>
      <c r="L16" s="52"/>
      <c r="M16" s="54"/>
    </row>
    <row r="17" spans="1:13" ht="18.75" customHeight="1">
      <c r="A17" s="18">
        <v>8080</v>
      </c>
      <c r="B17" s="53"/>
      <c r="C17" s="53"/>
      <c r="D17" s="34"/>
      <c r="E17" s="146" t="s">
        <v>510</v>
      </c>
      <c r="F17" s="36"/>
      <c r="G17" s="52"/>
      <c r="H17" s="52"/>
      <c r="I17" s="315"/>
      <c r="J17" s="52"/>
      <c r="K17" s="52"/>
      <c r="L17" s="52"/>
      <c r="M17" s="54"/>
    </row>
    <row r="18" spans="1:13" ht="18.75" customHeight="1">
      <c r="A18" s="18">
        <v>8090</v>
      </c>
      <c r="B18" s="53"/>
      <c r="C18" s="53"/>
      <c r="D18" s="34"/>
      <c r="E18" s="146" t="s">
        <v>510</v>
      </c>
      <c r="F18" s="36"/>
      <c r="G18" s="52"/>
      <c r="H18" s="52"/>
      <c r="I18" s="315"/>
      <c r="J18" s="52"/>
      <c r="K18" s="52"/>
      <c r="L18" s="52"/>
      <c r="M18" s="54"/>
    </row>
    <row r="19" spans="1:13" ht="18.75" customHeight="1">
      <c r="A19" s="18">
        <v>8100</v>
      </c>
      <c r="B19" s="53"/>
      <c r="C19" s="53"/>
      <c r="D19" s="34"/>
      <c r="E19" s="146" t="s">
        <v>510</v>
      </c>
      <c r="F19" s="36"/>
      <c r="G19" s="52"/>
      <c r="H19" s="52"/>
      <c r="I19" s="315"/>
      <c r="J19" s="52"/>
      <c r="K19" s="52"/>
      <c r="L19" s="52"/>
      <c r="M19" s="54"/>
    </row>
    <row r="20" spans="1:13" ht="18.75" customHeight="1">
      <c r="A20" s="18">
        <v>8110</v>
      </c>
      <c r="B20" s="53"/>
      <c r="C20" s="53"/>
      <c r="D20" s="34"/>
      <c r="E20" s="146" t="s">
        <v>510</v>
      </c>
      <c r="F20" s="36"/>
      <c r="G20" s="52"/>
      <c r="H20" s="52"/>
      <c r="I20" s="315"/>
      <c r="J20" s="52"/>
      <c r="K20" s="52"/>
      <c r="L20" s="52"/>
      <c r="M20" s="54"/>
    </row>
    <row r="21" spans="1:13" ht="18.75" customHeight="1">
      <c r="A21" s="18">
        <v>8120</v>
      </c>
      <c r="B21" s="53"/>
      <c r="C21" s="53"/>
      <c r="D21" s="34"/>
      <c r="E21" s="146" t="s">
        <v>510</v>
      </c>
      <c r="F21" s="36"/>
      <c r="G21" s="52"/>
      <c r="H21" s="52"/>
      <c r="I21" s="315"/>
      <c r="J21" s="52"/>
      <c r="K21" s="52"/>
      <c r="L21" s="52"/>
      <c r="M21" s="54"/>
    </row>
    <row r="22" spans="1:13" ht="18.75" customHeight="1">
      <c r="A22" s="18">
        <v>8130</v>
      </c>
      <c r="B22" s="53"/>
      <c r="C22" s="53"/>
      <c r="D22" s="34"/>
      <c r="E22" s="146" t="s">
        <v>510</v>
      </c>
      <c r="F22" s="36"/>
      <c r="G22" s="52"/>
      <c r="H22" s="52"/>
      <c r="I22" s="315"/>
      <c r="J22" s="52"/>
      <c r="K22" s="52"/>
      <c r="L22" s="52"/>
      <c r="M22" s="54"/>
    </row>
    <row r="23" spans="1:14" ht="18.75" customHeight="1">
      <c r="A23" s="243">
        <v>8140</v>
      </c>
      <c r="B23" s="248"/>
      <c r="C23" s="248"/>
      <c r="D23" s="249"/>
      <c r="E23" s="242" t="s">
        <v>510</v>
      </c>
      <c r="F23" s="250"/>
      <c r="G23" s="245"/>
      <c r="H23" s="245"/>
      <c r="I23" s="316"/>
      <c r="J23" s="245"/>
      <c r="K23" s="245"/>
      <c r="L23" s="245"/>
      <c r="M23" s="246"/>
      <c r="N23" s="26"/>
    </row>
    <row r="24" spans="1:14" ht="18.75" customHeight="1">
      <c r="A24" s="243">
        <v>8150</v>
      </c>
      <c r="B24" s="293"/>
      <c r="C24" s="293"/>
      <c r="D24" s="294"/>
      <c r="E24" s="242" t="s">
        <v>510</v>
      </c>
      <c r="F24" s="296"/>
      <c r="G24" s="244"/>
      <c r="H24" s="244"/>
      <c r="I24" s="317"/>
      <c r="J24" s="244"/>
      <c r="K24" s="244"/>
      <c r="L24" s="244"/>
      <c r="M24" s="297"/>
      <c r="N24" s="26"/>
    </row>
    <row r="25" spans="1:14" ht="18.75" customHeight="1">
      <c r="A25" s="243">
        <v>8160</v>
      </c>
      <c r="B25" s="293"/>
      <c r="C25" s="293"/>
      <c r="D25" s="294"/>
      <c r="E25" s="242" t="s">
        <v>510</v>
      </c>
      <c r="F25" s="296"/>
      <c r="G25" s="244"/>
      <c r="H25" s="244"/>
      <c r="I25" s="317"/>
      <c r="J25" s="244"/>
      <c r="K25" s="244"/>
      <c r="L25" s="244"/>
      <c r="M25" s="297"/>
      <c r="N25" s="26"/>
    </row>
    <row r="26" spans="1:14" ht="18.75" customHeight="1">
      <c r="A26" s="243">
        <v>8170</v>
      </c>
      <c r="B26" s="293"/>
      <c r="C26" s="293"/>
      <c r="D26" s="294"/>
      <c r="E26" s="242" t="s">
        <v>510</v>
      </c>
      <c r="F26" s="296"/>
      <c r="G26" s="244"/>
      <c r="H26" s="244"/>
      <c r="I26" s="317"/>
      <c r="J26" s="244"/>
      <c r="K26" s="244"/>
      <c r="L26" s="244"/>
      <c r="M26" s="297"/>
      <c r="N26" s="26"/>
    </row>
    <row r="27" spans="1:14" ht="18.75" customHeight="1">
      <c r="A27" s="243">
        <v>8180</v>
      </c>
      <c r="B27" s="293"/>
      <c r="C27" s="293"/>
      <c r="D27" s="294"/>
      <c r="E27" s="242" t="s">
        <v>510</v>
      </c>
      <c r="F27" s="296"/>
      <c r="G27" s="244"/>
      <c r="H27" s="244"/>
      <c r="I27" s="317"/>
      <c r="J27" s="244"/>
      <c r="K27" s="244"/>
      <c r="L27" s="244"/>
      <c r="M27" s="297"/>
      <c r="N27" s="26"/>
    </row>
    <row r="28" spans="1:14" ht="18.75" customHeight="1">
      <c r="A28" s="243">
        <v>8190</v>
      </c>
      <c r="B28" s="293"/>
      <c r="C28" s="293"/>
      <c r="D28" s="294"/>
      <c r="E28" s="242" t="s">
        <v>510</v>
      </c>
      <c r="F28" s="296"/>
      <c r="G28" s="244"/>
      <c r="H28" s="244"/>
      <c r="I28" s="317"/>
      <c r="J28" s="244"/>
      <c r="K28" s="244"/>
      <c r="L28" s="244"/>
      <c r="M28" s="297"/>
      <c r="N28" s="26"/>
    </row>
    <row r="29" spans="1:14" ht="18.75" customHeight="1" thickBot="1">
      <c r="A29" s="19">
        <v>8200</v>
      </c>
      <c r="B29" s="74"/>
      <c r="C29" s="74"/>
      <c r="D29" s="295"/>
      <c r="E29" s="147" t="s">
        <v>510</v>
      </c>
      <c r="F29" s="298"/>
      <c r="G29" s="262"/>
      <c r="H29" s="262"/>
      <c r="I29" s="318"/>
      <c r="J29" s="262"/>
      <c r="K29" s="262"/>
      <c r="L29" s="262"/>
      <c r="M29" s="195"/>
      <c r="N29" s="26"/>
    </row>
    <row r="30" ht="13.5" customHeight="1">
      <c r="N30" s="26"/>
    </row>
    <row r="31" ht="13.5" customHeight="1">
      <c r="N31" s="26"/>
    </row>
    <row r="32" ht="14.25" customHeight="1">
      <c r="N32" s="26"/>
    </row>
    <row r="33" spans="1:14" ht="21" customHeight="1">
      <c r="A33" s="131" t="s">
        <v>1326</v>
      </c>
      <c r="H33" s="158"/>
      <c r="I33" s="49"/>
      <c r="N33" s="26"/>
    </row>
    <row r="34" spans="1:14" ht="12" customHeight="1" thickBot="1">
      <c r="A34" s="150" t="str">
        <f>HYPERLINK(CONCATENATE(Filename,"Ins8210_8310"),"(Table instructions)")</f>
        <v>(Table instructions)</v>
      </c>
      <c r="H34" s="158"/>
      <c r="I34" s="49"/>
      <c r="N34" s="26"/>
    </row>
    <row r="35" spans="1:14" ht="36.75" customHeight="1">
      <c r="A35" s="700"/>
      <c r="B35" s="889" t="s">
        <v>582</v>
      </c>
      <c r="C35" s="41" t="s">
        <v>10</v>
      </c>
      <c r="D35" s="889" t="s">
        <v>92</v>
      </c>
      <c r="E35" s="889"/>
      <c r="F35" s="939" t="s">
        <v>583</v>
      </c>
      <c r="G35" s="163" t="s">
        <v>129</v>
      </c>
      <c r="H35" s="944" t="s">
        <v>584</v>
      </c>
      <c r="I35" s="50"/>
      <c r="J35" s="26"/>
      <c r="K35" s="26"/>
      <c r="L35" s="26"/>
      <c r="M35" s="26"/>
      <c r="N35" s="26"/>
    </row>
    <row r="36" spans="1:14" ht="30.75" customHeight="1">
      <c r="A36" s="942"/>
      <c r="B36" s="943"/>
      <c r="C36" s="51" t="str">
        <f>HYPERLINK(CONCATENATE(Filename,"Ins8210_8310_A"),"(instructions)")</f>
        <v>(instructions)</v>
      </c>
      <c r="D36" s="11" t="s">
        <v>473</v>
      </c>
      <c r="E36" s="11" t="s">
        <v>589</v>
      </c>
      <c r="F36" s="943"/>
      <c r="G36" s="51" t="str">
        <f>HYPERLINK(CONCATENATE(Filename,"Ins8210_8310_D"),"(instructions)")</f>
        <v>(instructions)</v>
      </c>
      <c r="H36" s="945"/>
      <c r="I36" s="26"/>
      <c r="J36" s="26"/>
      <c r="K36" s="26"/>
      <c r="L36" s="26"/>
      <c r="M36" s="26"/>
      <c r="N36" s="26"/>
    </row>
    <row r="37" spans="1:14" ht="31.5">
      <c r="A37" s="18">
        <v>8210</v>
      </c>
      <c r="B37" s="53"/>
      <c r="C37" s="53"/>
      <c r="D37" s="146" t="s">
        <v>510</v>
      </c>
      <c r="E37" s="146" t="s">
        <v>510</v>
      </c>
      <c r="F37" s="146" t="s">
        <v>510</v>
      </c>
      <c r="G37" s="53"/>
      <c r="H37" s="54"/>
      <c r="I37" s="26"/>
      <c r="J37" s="26"/>
      <c r="K37" s="26"/>
      <c r="L37" s="26"/>
      <c r="M37" s="26"/>
      <c r="N37" s="26"/>
    </row>
    <row r="38" spans="1:13" ht="31.5">
      <c r="A38" s="18">
        <v>8220</v>
      </c>
      <c r="B38" s="53"/>
      <c r="C38" s="53"/>
      <c r="D38" s="146" t="s">
        <v>510</v>
      </c>
      <c r="E38" s="146" t="s">
        <v>510</v>
      </c>
      <c r="F38" s="146" t="s">
        <v>510</v>
      </c>
      <c r="G38" s="53"/>
      <c r="H38" s="54"/>
      <c r="I38" s="26"/>
      <c r="J38" s="26"/>
      <c r="K38" s="26"/>
      <c r="L38" s="26"/>
      <c r="M38" s="26"/>
    </row>
    <row r="39" spans="1:13" ht="31.5">
      <c r="A39" s="18">
        <v>8230</v>
      </c>
      <c r="B39" s="53"/>
      <c r="C39" s="53"/>
      <c r="D39" s="146" t="s">
        <v>510</v>
      </c>
      <c r="E39" s="146" t="s">
        <v>510</v>
      </c>
      <c r="F39" s="146" t="s">
        <v>510</v>
      </c>
      <c r="G39" s="53"/>
      <c r="H39" s="54"/>
      <c r="I39" s="26"/>
      <c r="J39" s="26"/>
      <c r="K39" s="26"/>
      <c r="L39" s="26"/>
      <c r="M39" s="26"/>
    </row>
    <row r="40" spans="1:13" ht="31.5">
      <c r="A40" s="18">
        <v>8240</v>
      </c>
      <c r="B40" s="53"/>
      <c r="C40" s="53"/>
      <c r="D40" s="146" t="s">
        <v>510</v>
      </c>
      <c r="E40" s="146" t="s">
        <v>510</v>
      </c>
      <c r="F40" s="146" t="s">
        <v>510</v>
      </c>
      <c r="G40" s="53"/>
      <c r="H40" s="54"/>
      <c r="I40" s="26"/>
      <c r="J40" s="26"/>
      <c r="K40" s="26"/>
      <c r="L40" s="26"/>
      <c r="M40" s="26"/>
    </row>
    <row r="41" spans="1:13" ht="31.5">
      <c r="A41" s="18">
        <v>8250</v>
      </c>
      <c r="B41" s="53"/>
      <c r="C41" s="53"/>
      <c r="D41" s="146" t="s">
        <v>510</v>
      </c>
      <c r="E41" s="146" t="s">
        <v>510</v>
      </c>
      <c r="F41" s="146" t="s">
        <v>510</v>
      </c>
      <c r="G41" s="53"/>
      <c r="H41" s="54"/>
      <c r="I41" s="26"/>
      <c r="J41" s="26"/>
      <c r="K41" s="26"/>
      <c r="L41" s="26"/>
      <c r="M41" s="26"/>
    </row>
    <row r="42" spans="1:8" ht="31.5">
      <c r="A42" s="18">
        <v>8260</v>
      </c>
      <c r="B42" s="53"/>
      <c r="C42" s="53"/>
      <c r="D42" s="146" t="s">
        <v>510</v>
      </c>
      <c r="E42" s="146" t="s">
        <v>510</v>
      </c>
      <c r="F42" s="146" t="s">
        <v>510</v>
      </c>
      <c r="G42" s="53"/>
      <c r="H42" s="54"/>
    </row>
    <row r="43" spans="1:8" ht="31.5">
      <c r="A43" s="18">
        <v>8270</v>
      </c>
      <c r="B43" s="53"/>
      <c r="C43" s="53"/>
      <c r="D43" s="146" t="s">
        <v>510</v>
      </c>
      <c r="E43" s="146" t="s">
        <v>510</v>
      </c>
      <c r="F43" s="146" t="s">
        <v>510</v>
      </c>
      <c r="G43" s="53"/>
      <c r="H43" s="54"/>
    </row>
    <row r="44" spans="1:11" ht="31.5">
      <c r="A44" s="18">
        <v>8280</v>
      </c>
      <c r="B44" s="53"/>
      <c r="C44" s="53"/>
      <c r="D44" s="146" t="s">
        <v>510</v>
      </c>
      <c r="E44" s="146" t="s">
        <v>510</v>
      </c>
      <c r="F44" s="146" t="s">
        <v>510</v>
      </c>
      <c r="G44" s="53"/>
      <c r="H44" s="54"/>
      <c r="K44" s="2" t="s">
        <v>609</v>
      </c>
    </row>
    <row r="45" spans="1:8" ht="31.5">
      <c r="A45" s="18">
        <v>8290</v>
      </c>
      <c r="B45" s="53"/>
      <c r="C45" s="53"/>
      <c r="D45" s="146" t="s">
        <v>510</v>
      </c>
      <c r="E45" s="146" t="s">
        <v>510</v>
      </c>
      <c r="F45" s="146" t="s">
        <v>510</v>
      </c>
      <c r="G45" s="53"/>
      <c r="H45" s="54"/>
    </row>
    <row r="46" spans="1:8" ht="31.5">
      <c r="A46" s="18">
        <v>8300</v>
      </c>
      <c r="B46" s="53"/>
      <c r="C46" s="53"/>
      <c r="D46" s="146" t="s">
        <v>510</v>
      </c>
      <c r="E46" s="146" t="s">
        <v>510</v>
      </c>
      <c r="F46" s="146" t="s">
        <v>510</v>
      </c>
      <c r="G46" s="53"/>
      <c r="H46" s="54"/>
    </row>
    <row r="47" spans="1:8" ht="32.25" thickBot="1">
      <c r="A47" s="19">
        <v>8310</v>
      </c>
      <c r="B47" s="62"/>
      <c r="C47" s="62"/>
      <c r="D47" s="147" t="s">
        <v>510</v>
      </c>
      <c r="E47" s="147" t="s">
        <v>510</v>
      </c>
      <c r="F47" s="147" t="s">
        <v>510</v>
      </c>
      <c r="G47" s="62"/>
      <c r="H47" s="46"/>
    </row>
    <row r="50" spans="8:9" ht="10.5">
      <c r="H50" s="257" t="str">
        <f>HYPERLINK(Filename&amp;"page9","Page suivante")</f>
        <v>Page suivante</v>
      </c>
      <c r="I50" s="153"/>
    </row>
  </sheetData>
  <sheetProtection password="F319" sheet="1" selectLockedCells="1"/>
  <mergeCells count="13">
    <mergeCell ref="J8:M8"/>
    <mergeCell ref="B8:B9"/>
    <mergeCell ref="D35:E35"/>
    <mergeCell ref="D8:D9"/>
    <mergeCell ref="G6:H6"/>
    <mergeCell ref="G8:G9"/>
    <mergeCell ref="H8:H9"/>
    <mergeCell ref="E8:E9"/>
    <mergeCell ref="A8:A9"/>
    <mergeCell ref="A35:A36"/>
    <mergeCell ref="F35:F36"/>
    <mergeCell ref="H35:H36"/>
    <mergeCell ref="B35:B36"/>
  </mergeCells>
  <dataValidations count="4">
    <dataValidation type="list" allowBlank="1" error="Please pick a value from the list." sqref="E10:E29">
      <formula1>DDL_geo_area</formula1>
    </dataValidation>
    <dataValidation type="list" allowBlank="1" showInputMessage="1" sqref="E37:E47">
      <formula1>DDL_sia_years</formula1>
    </dataValidation>
    <dataValidation type="list" allowBlank="1" showInputMessage="1" sqref="D37:D47">
      <formula1>DDL_months</formula1>
    </dataValidation>
    <dataValidation type="list" allowBlank="1" showInputMessage="1" sqref="F37:F47">
      <formula1>DDL_geo_area</formula1>
    </dataValidation>
  </dataValidations>
  <printOptions/>
  <pageMargins left="0.2755905511811024" right="0.15748031496062992" top="0.984251968503937" bottom="0.984251968503937" header="0.5118110236220472" footer="0.5118110236220472"/>
  <pageSetup fitToHeight="1" fitToWidth="1" horizontalDpi="600" verticalDpi="600" orientation="portrait" scale="61" r:id="rId1"/>
  <headerFooter alignWithMargins="0">
    <oddFooter>&amp;L&amp;"Verdana,Regular"&amp;8OMS/UNICEF JRF données pour 2016
&amp;F&amp;R&amp;"Verdana,Regular"&amp;8Section &amp;A, pg. &amp;P</oddFooter>
  </headerFooter>
  <rowBreaks count="1" manualBreakCount="1">
    <brk id="31" max="255" man="1"/>
  </rowBreaks>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A3"/>
  <sheetViews>
    <sheetView showGridLines="0" showRowColHeaders="0" workbookViewId="0" topLeftCell="A1">
      <selection activeCell="A3" sqref="A3"/>
    </sheetView>
  </sheetViews>
  <sheetFormatPr defaultColWidth="9.140625" defaultRowHeight="12.75"/>
  <cols>
    <col min="1" max="1" width="182.8515625" style="0" customWidth="1"/>
  </cols>
  <sheetData>
    <row r="1" ht="12.75">
      <c r="A1" s="48" t="s">
        <v>191</v>
      </c>
    </row>
    <row r="2" ht="12.75">
      <c r="A2" s="48" t="s">
        <v>192</v>
      </c>
    </row>
    <row r="3" ht="354" customHeight="1">
      <c r="A3" s="259"/>
    </row>
  </sheetData>
  <sheetProtection password="F079" sheet="1" objects="1" scenarios="1" selectLockedCells="1"/>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A2:E115"/>
  <sheetViews>
    <sheetView showGridLines="0" showRowColHeaders="0" workbookViewId="0" topLeftCell="A1">
      <selection activeCell="C8" sqref="C8"/>
    </sheetView>
  </sheetViews>
  <sheetFormatPr defaultColWidth="9.140625" defaultRowHeight="12.75"/>
  <cols>
    <col min="1" max="1" width="2.8515625" style="211" customWidth="1"/>
    <col min="2" max="2" width="13.8515625" style="212" customWidth="1"/>
    <col min="3" max="3" width="75.28125" style="213" customWidth="1"/>
    <col min="4" max="4" width="10.7109375" style="214" customWidth="1"/>
    <col min="5" max="16384" width="9.140625" style="211" customWidth="1"/>
  </cols>
  <sheetData>
    <row r="1" ht="15" customHeight="1"/>
    <row r="2" spans="2:4" s="215" customFormat="1" ht="39.75" customHeight="1">
      <c r="B2" s="216" t="s">
        <v>181</v>
      </c>
      <c r="C2" s="217" t="s">
        <v>96</v>
      </c>
      <c r="D2" s="218" t="s">
        <v>590</v>
      </c>
    </row>
    <row r="3" spans="2:4" s="215" customFormat="1" ht="25.5" customHeight="1">
      <c r="B3" s="951" t="s">
        <v>742</v>
      </c>
      <c r="C3" s="952"/>
      <c r="D3" s="953"/>
    </row>
    <row r="4" spans="2:4" ht="66" customHeight="1">
      <c r="B4" s="219" t="s">
        <v>35</v>
      </c>
      <c r="C4" s="320" t="s">
        <v>168</v>
      </c>
      <c r="D4" s="321" t="str">
        <f>HYPERLINK(CONCATENATE(Filename,"C_0010"),"Retour»")</f>
        <v>Retour»</v>
      </c>
    </row>
    <row r="5" spans="2:4" ht="36" customHeight="1">
      <c r="B5" s="220" t="s">
        <v>41</v>
      </c>
      <c r="C5" s="322" t="s">
        <v>130</v>
      </c>
      <c r="D5" s="323" t="str">
        <f>HYPERLINK(CONCATENATE(Filename,"C_0080"),"Retour»")</f>
        <v>Retour»</v>
      </c>
    </row>
    <row r="6" spans="2:4" ht="15" customHeight="1">
      <c r="B6" s="948" t="s">
        <v>169</v>
      </c>
      <c r="C6" s="949"/>
      <c r="D6" s="950"/>
    </row>
    <row r="7" spans="2:4" ht="9" customHeight="1">
      <c r="B7" s="948"/>
      <c r="C7" s="949"/>
      <c r="D7" s="950"/>
    </row>
    <row r="8" spans="2:4" ht="30.75" customHeight="1">
      <c r="B8" s="222" t="s">
        <v>759</v>
      </c>
      <c r="C8" s="324" t="s">
        <v>1504</v>
      </c>
      <c r="D8" s="323" t="str">
        <f>HYPERLINK(CONCATENATE(Filename,"C_1010_A"),"Retour»")</f>
        <v>Retour»</v>
      </c>
    </row>
    <row r="9" spans="2:4" ht="35.25" customHeight="1">
      <c r="B9" s="222" t="s">
        <v>760</v>
      </c>
      <c r="C9" s="324" t="s">
        <v>891</v>
      </c>
      <c r="D9" s="323" t="str">
        <f>HYPERLINK(CONCATENATE(Filename,"C_1010_B"),"Retour»")</f>
        <v>Retour»</v>
      </c>
    </row>
    <row r="10" spans="2:4" ht="157.5">
      <c r="B10" s="222" t="s">
        <v>892</v>
      </c>
      <c r="C10" s="324" t="s">
        <v>1328</v>
      </c>
      <c r="D10" s="323" t="str">
        <f>HYPERLINK(CONCATENATE(Filename,"C_1010_C"),"Retour»")</f>
        <v>Retour»</v>
      </c>
    </row>
    <row r="11" spans="2:4" ht="21">
      <c r="B11" s="342" t="s">
        <v>805</v>
      </c>
      <c r="C11" s="324" t="s">
        <v>1516</v>
      </c>
      <c r="D11" s="323" t="str">
        <f>HYPERLINK(CONCATENATE(Filename,"C_1060"),"Retour»")</f>
        <v>Retour»</v>
      </c>
    </row>
    <row r="12" spans="2:4" ht="10.5">
      <c r="B12" s="342" t="s">
        <v>893</v>
      </c>
      <c r="C12" s="324" t="s">
        <v>1517</v>
      </c>
      <c r="D12" s="323" t="str">
        <f>HYPERLINK(CONCATENATE(Filename,"C_1070"),"Retour»")</f>
        <v>Retour»</v>
      </c>
    </row>
    <row r="13" spans="2:4" ht="10.5">
      <c r="B13" s="948" t="s">
        <v>836</v>
      </c>
      <c r="C13" s="949"/>
      <c r="D13" s="950"/>
    </row>
    <row r="14" spans="2:4" ht="10.5">
      <c r="B14" s="948"/>
      <c r="C14" s="949"/>
      <c r="D14" s="950"/>
    </row>
    <row r="15" spans="2:4" ht="252">
      <c r="B15" s="222" t="s">
        <v>1431</v>
      </c>
      <c r="C15" s="324" t="s">
        <v>990</v>
      </c>
      <c r="D15" s="323" t="str">
        <f>HYPERLINK(CONCATENATE(Filename,"C_2630"),"Retour»")</f>
        <v>Retour»</v>
      </c>
    </row>
    <row r="16" spans="2:4" ht="262.5">
      <c r="B16" s="222" t="s">
        <v>1432</v>
      </c>
      <c r="C16" s="324" t="s">
        <v>1522</v>
      </c>
      <c r="D16" s="323" t="str">
        <f>HYPERLINK(CONCATENATE(Filename,"C_2640"),"Retour»")</f>
        <v>Retour»</v>
      </c>
    </row>
    <row r="17" spans="2:4" ht="31.5">
      <c r="B17" s="222" t="s">
        <v>1433</v>
      </c>
      <c r="C17" s="324" t="s">
        <v>880</v>
      </c>
      <c r="D17" s="323" t="str">
        <f>HYPERLINK(CONCATENATE(Filename,"C_2650"),"Retour»")</f>
        <v>Retour»</v>
      </c>
    </row>
    <row r="18" spans="2:4" ht="31.5">
      <c r="B18" s="222" t="s">
        <v>989</v>
      </c>
      <c r="C18" s="324" t="s">
        <v>881</v>
      </c>
      <c r="D18" s="323" t="str">
        <f>HYPERLINK(CONCATENATE(Filename,"C_2660"),"Retour»")</f>
        <v>Retour»</v>
      </c>
    </row>
    <row r="19" spans="2:4" ht="10.5" customHeight="1">
      <c r="B19" s="948" t="s">
        <v>992</v>
      </c>
      <c r="C19" s="949"/>
      <c r="D19" s="950"/>
    </row>
    <row r="20" spans="2:4" ht="10.5">
      <c r="B20" s="948"/>
      <c r="C20" s="949"/>
      <c r="D20" s="950"/>
    </row>
    <row r="21" spans="2:4" ht="42">
      <c r="B21" s="437" t="s">
        <v>993</v>
      </c>
      <c r="C21" s="324" t="s">
        <v>1505</v>
      </c>
      <c r="D21" s="326" t="str">
        <f>HYPERLINK(CONCATENATE(Filename,"C_B_2010A"),"Retour»")</f>
        <v>Retour»</v>
      </c>
    </row>
    <row r="22" spans="2:4" ht="21">
      <c r="B22" s="437" t="s">
        <v>994</v>
      </c>
      <c r="C22" s="495" t="s">
        <v>1506</v>
      </c>
      <c r="D22" s="326" t="str">
        <f>HYPERLINK(CONCATENATE(Filename,"C_B_2010B"),"Retour»")</f>
        <v>Retour»</v>
      </c>
    </row>
    <row r="23" spans="2:4" ht="31.5">
      <c r="B23" s="437" t="s">
        <v>995</v>
      </c>
      <c r="C23" s="324" t="s">
        <v>1333</v>
      </c>
      <c r="D23" s="326" t="str">
        <f>HYPERLINK(CONCATENATE(Filename,"C_B_2010C"),"Retour»")</f>
        <v>Retour»</v>
      </c>
    </row>
    <row r="24" spans="2:4" ht="31.5">
      <c r="B24" s="437" t="s">
        <v>996</v>
      </c>
      <c r="C24" s="324" t="s">
        <v>1334</v>
      </c>
      <c r="D24" s="326" t="str">
        <f>HYPERLINK(CONCATENATE(Filename,"C_B_2010D"),"Retour»")</f>
        <v>Retour»</v>
      </c>
    </row>
    <row r="25" spans="2:4" ht="31.5">
      <c r="B25" s="437" t="s">
        <v>997</v>
      </c>
      <c r="C25" s="495" t="s">
        <v>1336</v>
      </c>
      <c r="D25" s="326" t="str">
        <f>HYPERLINK(CONCATENATE(Filename,"C_B_2010E"),"Retour»")</f>
        <v>Retour»</v>
      </c>
    </row>
    <row r="26" spans="2:4" ht="31.5">
      <c r="B26" s="437" t="s">
        <v>998</v>
      </c>
      <c r="C26" s="495" t="s">
        <v>1338</v>
      </c>
      <c r="D26" s="326" t="str">
        <f>HYPERLINK(CONCATENATE(Filename,"C_B_2010F"),"Retour»")</f>
        <v>Retour»</v>
      </c>
    </row>
    <row r="27" spans="2:4" ht="52.5">
      <c r="B27" s="196" t="s">
        <v>999</v>
      </c>
      <c r="C27" s="324" t="s">
        <v>1339</v>
      </c>
      <c r="D27" s="326" t="str">
        <f>HYPERLINK(CONCATENATE(Filename,"C_B_2010G"),"Retour»")</f>
        <v>Retour»</v>
      </c>
    </row>
    <row r="28" spans="2:4" ht="304.5">
      <c r="B28" s="437" t="s">
        <v>1000</v>
      </c>
      <c r="C28" s="324" t="s">
        <v>1343</v>
      </c>
      <c r="D28" s="326" t="str">
        <f>HYPERLINK(CONCATENATE(Filename,"C_B_2010H"),"Retour»")</f>
        <v>Retour»</v>
      </c>
    </row>
    <row r="29" spans="2:4" ht="31.5">
      <c r="B29" s="437" t="s">
        <v>1001</v>
      </c>
      <c r="C29" s="324" t="s">
        <v>1345</v>
      </c>
      <c r="D29" s="326" t="str">
        <f>HYPERLINK(CONCATENATE(Filename,"C_B_2010I"),"Retour»")</f>
        <v>Retour»</v>
      </c>
    </row>
    <row r="30" spans="2:4" ht="52.5">
      <c r="B30" s="437" t="s">
        <v>1002</v>
      </c>
      <c r="C30" s="495" t="s">
        <v>1347</v>
      </c>
      <c r="D30" s="326" t="str">
        <f>HYPERLINK(CONCATENATE(Filename,"C_B_2010J"),"Retour»")</f>
        <v>Retour»</v>
      </c>
    </row>
    <row r="31" spans="2:4" ht="42">
      <c r="B31" s="437" t="s">
        <v>1003</v>
      </c>
      <c r="C31" s="495" t="s">
        <v>1507</v>
      </c>
      <c r="D31" s="326" t="str">
        <f>HYPERLINK(CONCATENATE(Filename,"C_B_2010K"),"Retour»")</f>
        <v>Retour»</v>
      </c>
    </row>
    <row r="32" spans="2:4" ht="21">
      <c r="B32" s="437" t="s">
        <v>1004</v>
      </c>
      <c r="C32" s="495" t="s">
        <v>1350</v>
      </c>
      <c r="D32" s="326" t="str">
        <f>HYPERLINK(CONCATENATE(Filename,"C_B_2010L"),"Retour»")</f>
        <v>Retour»</v>
      </c>
    </row>
    <row r="33" spans="2:4" ht="21">
      <c r="B33" s="437" t="s">
        <v>1005</v>
      </c>
      <c r="C33" s="495" t="s">
        <v>1351</v>
      </c>
      <c r="D33" s="326" t="str">
        <f>HYPERLINK(CONCATENATE(Filename,"C_B_2010M"),"Retour»")</f>
        <v>Retour»</v>
      </c>
    </row>
    <row r="34" spans="2:4" ht="94.5">
      <c r="B34" s="437" t="s">
        <v>1006</v>
      </c>
      <c r="C34" s="324" t="s">
        <v>1352</v>
      </c>
      <c r="D34" s="326" t="str">
        <f>HYPERLINK(CONCATENATE(Filename,"C_B_2010N"),"Retour»")</f>
        <v>Retour»</v>
      </c>
    </row>
    <row r="35" spans="2:4" ht="168">
      <c r="B35" s="437" t="s">
        <v>1007</v>
      </c>
      <c r="C35" s="324" t="s">
        <v>1354</v>
      </c>
      <c r="D35" s="326" t="str">
        <f>HYPERLINK(CONCATENATE(Filename,"C_B_2010O"),"Retour»")</f>
        <v>Retour»</v>
      </c>
    </row>
    <row r="36" spans="2:4" ht="73.5">
      <c r="B36" s="437" t="s">
        <v>1008</v>
      </c>
      <c r="C36" s="495" t="s">
        <v>1356</v>
      </c>
      <c r="D36" s="326" t="str">
        <f>HYPERLINK(CONCATENATE(Filename,"C_B_2010P"),"Retour»")</f>
        <v>Retour»</v>
      </c>
    </row>
    <row r="37" spans="2:4" ht="25.5" customHeight="1">
      <c r="B37" s="948" t="s">
        <v>179</v>
      </c>
      <c r="C37" s="949"/>
      <c r="D37" s="208"/>
    </row>
    <row r="38" spans="2:4" ht="9.75" customHeight="1">
      <c r="B38" s="948"/>
      <c r="C38" s="949"/>
      <c r="D38" s="950"/>
    </row>
    <row r="39" spans="2:4" ht="78.75" customHeight="1">
      <c r="B39" s="222" t="s">
        <v>806</v>
      </c>
      <c r="C39" s="324" t="s">
        <v>177</v>
      </c>
      <c r="D39" s="323" t="str">
        <f>HYPERLINK(CONCATENATE(Filename,"C_3060"),"Retour»")</f>
        <v>Retour»</v>
      </c>
    </row>
    <row r="40" spans="2:4" ht="42">
      <c r="B40" s="222" t="s">
        <v>807</v>
      </c>
      <c r="C40" s="324" t="s">
        <v>414</v>
      </c>
      <c r="D40" s="323" t="str">
        <f>HYPERLINK(CONCATENATE(Filename,"C_3060A"),"Retour»")</f>
        <v>Retour»</v>
      </c>
    </row>
    <row r="41" spans="2:4" ht="39.75" customHeight="1">
      <c r="B41" s="222" t="s">
        <v>808</v>
      </c>
      <c r="C41" s="325" t="s">
        <v>171</v>
      </c>
      <c r="D41" s="323" t="str">
        <f>HYPERLINK(CONCATENATE(Filename,"C_3060B"),"Retour»")</f>
        <v>Retour»</v>
      </c>
    </row>
    <row r="42" spans="2:4" ht="42">
      <c r="B42" s="222" t="s">
        <v>809</v>
      </c>
      <c r="C42" s="325" t="s">
        <v>172</v>
      </c>
      <c r="D42" s="323" t="str">
        <f>HYPERLINK(CONCATENATE(Filename,"C_3060E"),"Retour»")</f>
        <v>Retour»</v>
      </c>
    </row>
    <row r="43" spans="2:4" ht="21">
      <c r="B43" s="222" t="s">
        <v>810</v>
      </c>
      <c r="C43" s="325" t="s">
        <v>176</v>
      </c>
      <c r="D43" s="323" t="str">
        <f>HYPERLINK(CONCATENATE(Filename,"C_3060F"),"Retour»")</f>
        <v>Retour»</v>
      </c>
    </row>
    <row r="44" spans="2:4" ht="31.5">
      <c r="B44" s="222" t="s">
        <v>811</v>
      </c>
      <c r="C44" s="325" t="s">
        <v>178</v>
      </c>
      <c r="D44" s="323" t="str">
        <f>HYPERLINK(CONCATENATE(Filename,"C_3060G"),"Retour»")</f>
        <v>Retour»</v>
      </c>
    </row>
    <row r="45" spans="2:4" ht="14.25" customHeight="1">
      <c r="B45" s="379" t="s">
        <v>873</v>
      </c>
      <c r="C45" s="221"/>
      <c r="D45" s="208"/>
    </row>
    <row r="46" spans="2:4" ht="9.75" customHeight="1">
      <c r="B46" s="207"/>
      <c r="C46" s="221"/>
      <c r="D46" s="208"/>
    </row>
    <row r="47" spans="2:4" ht="84">
      <c r="B47" s="222" t="s">
        <v>1009</v>
      </c>
      <c r="C47" s="322" t="s">
        <v>591</v>
      </c>
      <c r="D47" s="323" t="str">
        <f>HYPERLINK(CONCATENATE(Filename,"C_4010_A"),"Retour»")</f>
        <v>Retour»</v>
      </c>
    </row>
    <row r="48" spans="2:4" ht="156" customHeight="1">
      <c r="B48" s="222" t="s">
        <v>1010</v>
      </c>
      <c r="C48" s="322" t="s">
        <v>592</v>
      </c>
      <c r="D48" s="323" t="str">
        <f>HYPERLINK(CONCATENATE(Filename,"C_4010_A"),"Retour»")</f>
        <v>Retour»</v>
      </c>
    </row>
    <row r="49" spans="1:4" ht="189.75" customHeight="1">
      <c r="A49" s="210"/>
      <c r="B49" s="196" t="s">
        <v>819</v>
      </c>
      <c r="C49" s="324" t="s">
        <v>182</v>
      </c>
      <c r="D49" s="326" t="str">
        <f>HYPERLINK(CONCATENATE(Filename,"C_4010_B"),"Retour»")</f>
        <v>Retour»</v>
      </c>
    </row>
    <row r="50" spans="2:4" ht="52.5">
      <c r="B50" s="222" t="s">
        <v>34</v>
      </c>
      <c r="C50" s="322" t="s">
        <v>749</v>
      </c>
      <c r="D50" s="323" t="str">
        <f>HYPERLINK(CONCATENATE(Filename,"C_4020_B"),"Retour»")</f>
        <v>Retour»</v>
      </c>
    </row>
    <row r="51" spans="2:4" ht="52.5">
      <c r="B51" s="222" t="s">
        <v>1011</v>
      </c>
      <c r="C51" s="322" t="s">
        <v>1523</v>
      </c>
      <c r="D51" s="323" t="str">
        <f>HYPERLINK(CONCATENATE(Filename,"C_4030_B"),"Retour»")</f>
        <v>Retour»</v>
      </c>
    </row>
    <row r="52" spans="2:4" ht="38.25" customHeight="1">
      <c r="B52" s="222" t="s">
        <v>820</v>
      </c>
      <c r="C52" s="322" t="s">
        <v>746</v>
      </c>
      <c r="D52" s="323" t="str">
        <f>HYPERLINK(CONCATENATE(Filename,"C_4080_B"),"Retour»")</f>
        <v>Retour»</v>
      </c>
    </row>
    <row r="53" spans="2:4" ht="73.5">
      <c r="B53" s="222" t="s">
        <v>1012</v>
      </c>
      <c r="C53" s="322" t="s">
        <v>750</v>
      </c>
      <c r="D53" s="323" t="str">
        <f>HYPERLINK(CONCATENATE(Filename,"C_4090_B"),"Retour»")</f>
        <v>Retour»</v>
      </c>
    </row>
    <row r="54" spans="2:4" ht="42">
      <c r="B54" s="222" t="s">
        <v>1013</v>
      </c>
      <c r="C54" s="322" t="s">
        <v>166</v>
      </c>
      <c r="D54" s="323" t="str">
        <f>HYPERLINK(CONCATENATE(Filename,"C_4160_B"),"Retour»")</f>
        <v>Retour»</v>
      </c>
    </row>
    <row r="55" spans="2:4" ht="30" customHeight="1">
      <c r="B55" s="222" t="s">
        <v>1014</v>
      </c>
      <c r="C55" s="322" t="s">
        <v>597</v>
      </c>
      <c r="D55" s="323" t="str">
        <f>HYPERLINK(CONCATENATE(Filename,"C_4230_A"),"Retour»")</f>
        <v>Retour»</v>
      </c>
    </row>
    <row r="56" spans="2:4" ht="42">
      <c r="B56" s="222" t="s">
        <v>1015</v>
      </c>
      <c r="C56" s="322" t="s">
        <v>745</v>
      </c>
      <c r="D56" s="323" t="str">
        <f>HYPERLINK(CONCATENATE(Filename,"C_4240_B"),"Retour»")</f>
        <v>Retour»</v>
      </c>
    </row>
    <row r="57" spans="2:4" ht="63">
      <c r="B57" s="222" t="s">
        <v>1017</v>
      </c>
      <c r="C57" s="322" t="s">
        <v>1477</v>
      </c>
      <c r="D57" s="323" t="str">
        <f>HYPERLINK(CONCATENATE(Filename,"C_4250"),"Retour»")</f>
        <v>Retour»</v>
      </c>
    </row>
    <row r="58" spans="2:4" ht="94.5">
      <c r="B58" s="222" t="s">
        <v>1018</v>
      </c>
      <c r="C58" s="322" t="s">
        <v>1405</v>
      </c>
      <c r="D58" s="323" t="str">
        <f>HYPERLINK(CONCATENATE(Filename,"C_4260"),"Retour»")</f>
        <v>Retour»</v>
      </c>
    </row>
    <row r="59" spans="2:4" ht="63">
      <c r="B59" s="222" t="s">
        <v>1019</v>
      </c>
      <c r="C59" s="322" t="s">
        <v>1406</v>
      </c>
      <c r="D59" s="323" t="str">
        <f>HYPERLINK(CONCATENATE(Filename,"C_4270"),"Retour»")</f>
        <v>Retour»</v>
      </c>
    </row>
    <row r="60" spans="2:4" ht="192" customHeight="1">
      <c r="B60" s="222" t="s">
        <v>1016</v>
      </c>
      <c r="C60" s="322" t="s">
        <v>598</v>
      </c>
      <c r="D60" s="323" t="str">
        <f>HYPERLINK(CONCATENATE(Filename,"C_4280"),"Retour»")</f>
        <v>Retour»</v>
      </c>
    </row>
    <row r="61" spans="2:4" ht="63">
      <c r="B61" s="222" t="s">
        <v>1021</v>
      </c>
      <c r="C61" s="322" t="s">
        <v>183</v>
      </c>
      <c r="D61" s="323" t="str">
        <f>HYPERLINK(CONCATENATE(Filename,"C_4310"),"Retour»")</f>
        <v>Retour»</v>
      </c>
    </row>
    <row r="62" spans="2:5" ht="77.25" customHeight="1">
      <c r="B62" s="222" t="s">
        <v>1022</v>
      </c>
      <c r="C62" s="322" t="s">
        <v>1531</v>
      </c>
      <c r="D62" s="323" t="str">
        <f>HYPERLINK(CONCATENATE(Filename,"C_4330_A"),"Retour»")</f>
        <v>Retour»</v>
      </c>
      <c r="E62" s="210"/>
    </row>
    <row r="63" spans="2:5" ht="31.5">
      <c r="B63" s="222" t="s">
        <v>1024</v>
      </c>
      <c r="C63" s="322" t="s">
        <v>1027</v>
      </c>
      <c r="D63" s="323" t="str">
        <f>HYPERLINK(CONCATENATE(Filename,"C_4420"),"Retour»")</f>
        <v>Retour»</v>
      </c>
      <c r="E63" s="210"/>
    </row>
    <row r="64" spans="2:4" ht="182.25" customHeight="1">
      <c r="B64" s="222" t="s">
        <v>1311</v>
      </c>
      <c r="C64" s="322" t="s">
        <v>1532</v>
      </c>
      <c r="D64" s="323" t="str">
        <f>HYPERLINK(CONCATENATE(Filename,"C_5010"),"Retour»")</f>
        <v>Retour»</v>
      </c>
    </row>
    <row r="65" spans="2:4" ht="108" customHeight="1">
      <c r="B65" s="342" t="s">
        <v>1312</v>
      </c>
      <c r="C65" s="322" t="s">
        <v>1409</v>
      </c>
      <c r="D65" s="323" t="str">
        <f>HYPERLINK(CONCATENATE(Filename,"C_5240"),"Retour»")</f>
        <v>Retour»</v>
      </c>
    </row>
    <row r="66" spans="2:4" ht="12.75" customHeight="1">
      <c r="B66" s="948" t="s">
        <v>607</v>
      </c>
      <c r="C66" s="949"/>
      <c r="D66" s="950" t="str">
        <f>HYPERLINK(CONCATENATE(Filename,"C_6380"),"Retour»")</f>
        <v>Retour»</v>
      </c>
    </row>
    <row r="67" spans="2:4" ht="9" customHeight="1">
      <c r="B67" s="948"/>
      <c r="C67" s="949"/>
      <c r="D67" s="950" t="str">
        <f>HYPERLINK(CONCATENATE(Filename,"C_6400"),"Retour»")</f>
        <v>Retour»</v>
      </c>
    </row>
    <row r="68" spans="2:4" ht="105">
      <c r="B68" s="222" t="s">
        <v>72</v>
      </c>
      <c r="C68" s="322" t="s">
        <v>1546</v>
      </c>
      <c r="D68" s="323" t="str">
        <f>HYPERLINK(CONCATENATE(Filename,"C_6010"),"Retour»")</f>
        <v>Retour»</v>
      </c>
    </row>
    <row r="69" spans="2:4" ht="105">
      <c r="B69" s="222" t="s">
        <v>839</v>
      </c>
      <c r="C69" s="322" t="s">
        <v>859</v>
      </c>
      <c r="D69" s="323" t="str">
        <f>HYPERLINK(CONCATENATE(Filename,"C_6050"),"Retour»")</f>
        <v>Retour»</v>
      </c>
    </row>
    <row r="70" spans="2:5" ht="136.5">
      <c r="B70" s="222" t="s">
        <v>783</v>
      </c>
      <c r="C70" s="322" t="s">
        <v>1547</v>
      </c>
      <c r="D70" s="323" t="str">
        <f>HYPERLINK(CONCATENATE(Filename,"C_NITAG1"),"Retour»")</f>
        <v>Retour»</v>
      </c>
      <c r="E70" s="210"/>
    </row>
    <row r="71" spans="2:5" ht="31.5">
      <c r="B71" s="222" t="s">
        <v>784</v>
      </c>
      <c r="C71" s="322" t="s">
        <v>536</v>
      </c>
      <c r="D71" s="323" t="str">
        <f>HYPERLINK(CONCATENATE(Filename,"C_NITAG2"),"Retour»")</f>
        <v>Retour»</v>
      </c>
      <c r="E71" s="210"/>
    </row>
    <row r="72" spans="2:5" ht="52.5">
      <c r="B72" s="222" t="s">
        <v>823</v>
      </c>
      <c r="C72" s="322" t="s">
        <v>537</v>
      </c>
      <c r="D72" s="323" t="str">
        <f>HYPERLINK(CONCATENATE(Filename,"C_NITAG3"),"Retour»")</f>
        <v>Retour»</v>
      </c>
      <c r="E72" s="210"/>
    </row>
    <row r="73" spans="2:5" ht="42">
      <c r="B73" s="222" t="s">
        <v>882</v>
      </c>
      <c r="C73" s="322" t="s">
        <v>538</v>
      </c>
      <c r="D73" s="323" t="str">
        <f>HYPERLINK(CONCATENATE(Filename,"C_NITAG4"),"Retour»")</f>
        <v>Retour»</v>
      </c>
      <c r="E73" s="210"/>
    </row>
    <row r="74" spans="2:5" ht="63">
      <c r="B74" s="222" t="s">
        <v>729</v>
      </c>
      <c r="C74" s="322" t="s">
        <v>539</v>
      </c>
      <c r="D74" s="323" t="str">
        <f>HYPERLINK(CONCATENATE(Filename,"C_NITAG5"),"Retour»")</f>
        <v>Retour»</v>
      </c>
      <c r="E74" s="210"/>
    </row>
    <row r="75" spans="2:5" ht="73.5">
      <c r="B75" s="222" t="s">
        <v>730</v>
      </c>
      <c r="C75" s="322" t="s">
        <v>794</v>
      </c>
      <c r="D75" s="323" t="str">
        <f>HYPERLINK(CONCATENATE(Filename,"C_NITAG6"),"Retour»")</f>
        <v>Retour»</v>
      </c>
      <c r="E75" s="210"/>
    </row>
    <row r="76" spans="2:5" ht="136.5">
      <c r="B76" s="222" t="s">
        <v>785</v>
      </c>
      <c r="C76" s="322" t="s">
        <v>795</v>
      </c>
      <c r="D76" s="323" t="str">
        <f>HYPERLINK(CONCATENATE(Filename,"C_NITAG7"),"Retour»")</f>
        <v>Retour»</v>
      </c>
      <c r="E76" s="210"/>
    </row>
    <row r="77" spans="2:5" ht="31.5">
      <c r="B77" s="222" t="s">
        <v>824</v>
      </c>
      <c r="C77" s="322" t="s">
        <v>796</v>
      </c>
      <c r="D77" s="323" t="str">
        <f>HYPERLINK(CONCATENATE(Filename,"C_NITAG8"),"Retour»")</f>
        <v>Retour»</v>
      </c>
      <c r="E77" s="210"/>
    </row>
    <row r="78" spans="2:5" ht="31.5">
      <c r="B78" s="222" t="s">
        <v>1081</v>
      </c>
      <c r="C78" s="474" t="s">
        <v>1415</v>
      </c>
      <c r="D78" s="323" t="str">
        <f>HYPERLINK(CONCATENATE(Filename,"C_NITAG9"),"Retour»")</f>
        <v>Retour»</v>
      </c>
      <c r="E78" s="210"/>
    </row>
    <row r="79" spans="2:5" ht="21">
      <c r="B79" s="222" t="s">
        <v>1034</v>
      </c>
      <c r="C79" s="322" t="s">
        <v>879</v>
      </c>
      <c r="D79" s="323" t="str">
        <f>HYPERLINK(CONCATENATE(Filename,"C_6220"),"Retour»")</f>
        <v>Retour»</v>
      </c>
      <c r="E79" s="210"/>
    </row>
    <row r="80" spans="2:4" ht="21" customHeight="1">
      <c r="B80" s="222" t="s">
        <v>1035</v>
      </c>
      <c r="C80" s="322" t="s">
        <v>608</v>
      </c>
      <c r="D80" s="323" t="str">
        <f>HYPERLINK(CONCATENATE(Filename,"C_6310"),"Retour»")</f>
        <v>Retour»</v>
      </c>
    </row>
    <row r="81" spans="2:4" ht="84">
      <c r="B81" s="222" t="s">
        <v>1314</v>
      </c>
      <c r="C81" s="322" t="s">
        <v>1503</v>
      </c>
      <c r="D81" s="323" t="str">
        <f>HYPERLINK(CONCATENATE(Filename,"C_6320_A"),"Retour»")</f>
        <v>Retour»</v>
      </c>
    </row>
    <row r="82" spans="2:4" ht="105">
      <c r="B82" s="222" t="s">
        <v>1315</v>
      </c>
      <c r="C82" s="322" t="s">
        <v>1082</v>
      </c>
      <c r="D82" s="323" t="str">
        <f>HYPERLINK(CONCATENATE(Filename,"C_6320_B"),"Retour»")</f>
        <v>Retour»</v>
      </c>
    </row>
    <row r="83" spans="2:4" ht="157.5">
      <c r="B83" s="222" t="s">
        <v>1316</v>
      </c>
      <c r="C83" s="322" t="s">
        <v>1083</v>
      </c>
      <c r="D83" s="323" t="str">
        <f>HYPERLINK(CONCATENATE(Filename,"C_6320_C"),"Retour»")</f>
        <v>Retour»</v>
      </c>
    </row>
    <row r="84" spans="2:4" ht="42">
      <c r="B84" s="222" t="s">
        <v>1317</v>
      </c>
      <c r="C84" s="322" t="s">
        <v>1549</v>
      </c>
      <c r="D84" s="323" t="str">
        <f>HYPERLINK(CONCATENATE(Filename,"C_6320_D"),"Retour»")</f>
        <v>Retour»</v>
      </c>
    </row>
    <row r="85" spans="2:4" ht="42" customHeight="1">
      <c r="B85" s="222" t="s">
        <v>1318</v>
      </c>
      <c r="C85" s="322" t="s">
        <v>1550</v>
      </c>
      <c r="D85" s="323" t="str">
        <f>HYPERLINK(CONCATENATE(Filename,"C_6320_E"),"Retour»")</f>
        <v>Retour»</v>
      </c>
    </row>
    <row r="86" spans="2:4" ht="52.5">
      <c r="B86" s="222" t="s">
        <v>830</v>
      </c>
      <c r="C86" s="322" t="s">
        <v>1548</v>
      </c>
      <c r="D86" s="323" t="str">
        <f>HYPERLINK(CONCATENATE(Filename,"C_6450"),"Retour»")</f>
        <v>Retour»</v>
      </c>
    </row>
    <row r="87" spans="2:4" ht="72.75" customHeight="1">
      <c r="B87" s="222" t="s">
        <v>831</v>
      </c>
      <c r="C87" s="322" t="s">
        <v>1551</v>
      </c>
      <c r="D87" s="323" t="str">
        <f>HYPERLINK(CONCATENATE(Filename,"C_6460"),"Retour»")</f>
        <v>Retour»</v>
      </c>
    </row>
    <row r="88" spans="2:4" ht="73.5">
      <c r="B88" s="222" t="s">
        <v>1084</v>
      </c>
      <c r="C88" s="322" t="s">
        <v>843</v>
      </c>
      <c r="D88" s="323" t="str">
        <f>HYPERLINK(CONCATENATE(Filename,"C_6470"),"Retour»")</f>
        <v>Retour»</v>
      </c>
    </row>
    <row r="89" spans="2:4" ht="165.75" customHeight="1">
      <c r="B89" s="222" t="s">
        <v>1085</v>
      </c>
      <c r="C89" s="322" t="s">
        <v>1552</v>
      </c>
      <c r="D89" s="323" t="str">
        <f>HYPERLINK(CONCATENATE(Filename,"C_6480"),"Retour»")</f>
        <v>Retour»</v>
      </c>
    </row>
    <row r="90" spans="2:4" ht="99.75" customHeight="1">
      <c r="B90" s="222" t="s">
        <v>789</v>
      </c>
      <c r="C90" s="322" t="s">
        <v>1417</v>
      </c>
      <c r="D90" s="323" t="str">
        <f>HYPERLINK(CONCATENATE(Filename,"C_6490"),"Retour»")</f>
        <v>Retour»</v>
      </c>
    </row>
    <row r="91" spans="2:4" ht="94.5">
      <c r="B91" s="222" t="s">
        <v>790</v>
      </c>
      <c r="C91" s="322" t="s">
        <v>1502</v>
      </c>
      <c r="D91" s="323" t="str">
        <f>HYPERLINK(CONCATENATE(Filename,"C_6500"),"Retour»")</f>
        <v>Retour»</v>
      </c>
    </row>
    <row r="92" spans="2:4" ht="87.75" customHeight="1">
      <c r="B92" s="222" t="s">
        <v>791</v>
      </c>
      <c r="C92" s="322" t="s">
        <v>1420</v>
      </c>
      <c r="D92" s="323" t="str">
        <f>HYPERLINK(CONCATENATE(Filename,"C_6510"),"Retour»")</f>
        <v>Retour»</v>
      </c>
    </row>
    <row r="93" spans="2:5" ht="115.5">
      <c r="B93" s="222" t="s">
        <v>848</v>
      </c>
      <c r="C93" s="322" t="s">
        <v>799</v>
      </c>
      <c r="D93" s="323" t="str">
        <f>HYPERLINK(CONCATENATE(Filename,"C_6530"),"Retour»")</f>
        <v>Retour»</v>
      </c>
      <c r="E93" s="210"/>
    </row>
    <row r="94" spans="2:4" ht="94.5">
      <c r="B94" s="222" t="s">
        <v>849</v>
      </c>
      <c r="C94" s="322" t="s">
        <v>748</v>
      </c>
      <c r="D94" s="323" t="str">
        <f>HYPERLINK(CONCATENATE(Filename,"C_6540"),"Retour»")</f>
        <v>Retour»</v>
      </c>
    </row>
    <row r="95" spans="2:4" ht="84">
      <c r="B95" s="222" t="s">
        <v>851</v>
      </c>
      <c r="C95" s="322" t="s">
        <v>1422</v>
      </c>
      <c r="D95" s="323" t="str">
        <f>HYPERLINK(CONCATENATE(Filename,"C_6560"),"Retour»")</f>
        <v>Retour»</v>
      </c>
    </row>
    <row r="96" spans="2:4" ht="52.5">
      <c r="B96" s="222" t="s">
        <v>1086</v>
      </c>
      <c r="C96" s="322" t="s">
        <v>1424</v>
      </c>
      <c r="D96" s="323" t="str">
        <f>HYPERLINK(CONCATENATE(Filename,"C_6570"),"Retour»")</f>
        <v>Retour»</v>
      </c>
    </row>
    <row r="97" spans="2:4" ht="59.25" customHeight="1">
      <c r="B97" s="222" t="s">
        <v>1088</v>
      </c>
      <c r="C97" s="327" t="s">
        <v>845</v>
      </c>
      <c r="D97" s="323" t="str">
        <f>HYPERLINK(CONCATENATE(Filename,"C_6590"),"Retour»")</f>
        <v>Retour»</v>
      </c>
    </row>
    <row r="98" spans="2:4" ht="42">
      <c r="B98" s="222" t="s">
        <v>1089</v>
      </c>
      <c r="C98" s="322" t="s">
        <v>846</v>
      </c>
      <c r="D98" s="323" t="str">
        <f>HYPERLINK(CONCATENATE(Filename,"C_6500"),"Retour»")</f>
        <v>Retour»</v>
      </c>
    </row>
    <row r="99" spans="2:5" ht="199.5">
      <c r="B99" s="222" t="s">
        <v>1090</v>
      </c>
      <c r="C99" s="322" t="s">
        <v>847</v>
      </c>
      <c r="D99" s="323" t="str">
        <f>HYPERLINK(CONCATENATE(Filename,"C_F4"),"Retour»")</f>
        <v>Retour»</v>
      </c>
      <c r="E99" s="210"/>
    </row>
    <row r="100" spans="2:5" ht="220.5">
      <c r="B100" s="222" t="s">
        <v>1091</v>
      </c>
      <c r="C100" s="322" t="s">
        <v>1553</v>
      </c>
      <c r="D100" s="323" t="str">
        <f>HYPERLINK(CONCATENATE(Filename,"C_F5"),"Retour»")</f>
        <v>Retour»</v>
      </c>
      <c r="E100" s="210"/>
    </row>
    <row r="101" spans="2:5" ht="42">
      <c r="B101" s="222" t="s">
        <v>1092</v>
      </c>
      <c r="C101" s="322" t="s">
        <v>1320</v>
      </c>
      <c r="D101" s="323" t="str">
        <f>HYPERLINK(CONCATENATE(Filename,"C_F6"),"Retour»")</f>
        <v>Retour»</v>
      </c>
      <c r="E101" s="210"/>
    </row>
    <row r="102" spans="2:5" ht="262.5">
      <c r="B102" s="222" t="s">
        <v>1093</v>
      </c>
      <c r="C102" s="322" t="s">
        <v>850</v>
      </c>
      <c r="D102" s="323" t="str">
        <f>HYPERLINK(CONCATENATE(Filename,"C_F7"),"Retour»")</f>
        <v>Retour»</v>
      </c>
      <c r="E102" s="210"/>
    </row>
    <row r="103" spans="2:5" ht="220.5">
      <c r="B103" s="222" t="s">
        <v>1094</v>
      </c>
      <c r="C103" s="322" t="s">
        <v>1554</v>
      </c>
      <c r="D103" s="323" t="str">
        <f>HYPERLINK(CONCATENATE(Filename,"C_F8"),"Retour»")</f>
        <v>Retour»</v>
      </c>
      <c r="E103" s="210"/>
    </row>
    <row r="104" spans="2:5" ht="31.5">
      <c r="B104" s="222" t="s">
        <v>1095</v>
      </c>
      <c r="C104" s="322" t="s">
        <v>1322</v>
      </c>
      <c r="D104" s="323" t="str">
        <f>HYPERLINK(CONCATENATE(Filename,"C_F9"),"Retour»")</f>
        <v>Retour»</v>
      </c>
      <c r="E104" s="210"/>
    </row>
    <row r="105" spans="2:5" ht="115.5">
      <c r="B105" s="342" t="s">
        <v>1323</v>
      </c>
      <c r="C105" s="322" t="s">
        <v>869</v>
      </c>
      <c r="D105" s="323" t="str">
        <f>HYPERLINK(CONCATENATE(Filename,"C_6740"),"Retour»")</f>
        <v>Retour»</v>
      </c>
      <c r="E105" s="210"/>
    </row>
    <row r="106" spans="2:4" ht="58.5" customHeight="1">
      <c r="B106" s="948" t="s">
        <v>165</v>
      </c>
      <c r="C106" s="949"/>
      <c r="D106" s="950"/>
    </row>
    <row r="107" spans="2:4" ht="63">
      <c r="B107" s="222" t="s">
        <v>752</v>
      </c>
      <c r="C107" s="322" t="s">
        <v>1325</v>
      </c>
      <c r="D107" s="323" t="str">
        <f>HYPERLINK(CONCATENATE(Filename,"C_8010"),"Retour»")</f>
        <v>Retour»</v>
      </c>
    </row>
    <row r="108" spans="2:4" ht="42">
      <c r="B108" s="222" t="s">
        <v>753</v>
      </c>
      <c r="C108" s="322" t="s">
        <v>392</v>
      </c>
      <c r="D108" s="323" t="str">
        <f>HYPERLINK(CONCATENATE(Filename,"C_8010_A"),"Retour»")</f>
        <v>Retour»</v>
      </c>
    </row>
    <row r="109" spans="2:4" ht="21">
      <c r="B109" s="222" t="s">
        <v>754</v>
      </c>
      <c r="C109" s="322" t="s">
        <v>393</v>
      </c>
      <c r="D109" s="323" t="str">
        <f>HYPERLINK(CONCATENATE(Filename,"C_8010_D"),"Retour»")</f>
        <v>Retour»</v>
      </c>
    </row>
    <row r="110" spans="2:4" ht="67.5" customHeight="1">
      <c r="B110" s="222" t="s">
        <v>755</v>
      </c>
      <c r="C110" s="322" t="s">
        <v>180</v>
      </c>
      <c r="D110" s="323" t="str">
        <f>HYPERLINK(CONCATENATE(Filename,"C_8010_G"),"Retour»")</f>
        <v>Retour»</v>
      </c>
    </row>
    <row r="111" spans="2:4" ht="63">
      <c r="B111" s="222" t="s">
        <v>106</v>
      </c>
      <c r="C111" s="322" t="s">
        <v>1327</v>
      </c>
      <c r="D111" s="323" t="str">
        <f>HYPERLINK(CONCATENATE(Filename,"C_8210"),"Retour»")</f>
        <v>Retour»</v>
      </c>
    </row>
    <row r="112" spans="2:4" ht="42">
      <c r="B112" s="222" t="s">
        <v>756</v>
      </c>
      <c r="C112" s="322" t="s">
        <v>392</v>
      </c>
      <c r="D112" s="323" t="str">
        <f>HYPERLINK(CONCATENATE(Filename,"C_8210_A"),"Retour»")</f>
        <v>Retour»</v>
      </c>
    </row>
    <row r="113" spans="2:4" ht="21">
      <c r="B113" s="291" t="s">
        <v>107</v>
      </c>
      <c r="C113" s="328" t="s">
        <v>393</v>
      </c>
      <c r="D113" s="329" t="str">
        <f>HYPERLINK(CONCATENATE(Filename,"C_8210_D"),"Retour»")</f>
        <v>Retour»</v>
      </c>
    </row>
    <row r="114" spans="2:4" s="210" customFormat="1" ht="54.75" customHeight="1">
      <c r="B114" s="223"/>
      <c r="C114" s="224"/>
      <c r="D114" s="225"/>
    </row>
    <row r="115" spans="2:4" s="210" customFormat="1" ht="45" customHeight="1">
      <c r="B115" s="226"/>
      <c r="C115" s="227"/>
      <c r="D115" s="228"/>
    </row>
  </sheetData>
  <sheetProtection sheet="1" selectLockedCells="1"/>
  <mergeCells count="11">
    <mergeCell ref="B20:D20"/>
    <mergeCell ref="B38:D38"/>
    <mergeCell ref="B66:D67"/>
    <mergeCell ref="B106:D106"/>
    <mergeCell ref="B3:D3"/>
    <mergeCell ref="B7:D7"/>
    <mergeCell ref="B6:D6"/>
    <mergeCell ref="B37:C37"/>
    <mergeCell ref="B13:D13"/>
    <mergeCell ref="B14:D14"/>
    <mergeCell ref="B19:D19"/>
  </mergeCells>
  <conditionalFormatting sqref="B107:D113 C80:C92 B101 B103 B39:D44 C4:D5 B4:B6 B68:D69 D70:D105 B70:B99 C94:C97 B15:D18 B47:D65 B8:D12 B21:D36">
    <cfRule type="expression" priority="13" dxfId="0" stopIfTrue="1">
      <formula>AND(MOD(ROW(),2),COUNTA($B$4:$D$4))</formula>
    </cfRule>
  </conditionalFormatting>
  <conditionalFormatting sqref="C70:C79">
    <cfRule type="expression" priority="14" dxfId="0" stopIfTrue="1">
      <formula>AND(MOD(ROW(),2),COUNTA($B$4:$D$4))</formula>
    </cfRule>
  </conditionalFormatting>
  <conditionalFormatting sqref="C93">
    <cfRule type="expression" priority="12" dxfId="0" stopIfTrue="1">
      <formula>AND(MOD(ROW(),2),COUNTA($B$4:$D$4))</formula>
    </cfRule>
  </conditionalFormatting>
  <conditionalFormatting sqref="C98">
    <cfRule type="expression" priority="10" dxfId="0" stopIfTrue="1">
      <formula>AND(MOD(ROW(),2),COUNTA($B$4:$D$4))</formula>
    </cfRule>
  </conditionalFormatting>
  <conditionalFormatting sqref="C99">
    <cfRule type="expression" priority="9" dxfId="0" stopIfTrue="1">
      <formula>AND(MOD(ROW(),2),COUNTA($B$4:$D$4))</formula>
    </cfRule>
  </conditionalFormatting>
  <conditionalFormatting sqref="C100">
    <cfRule type="expression" priority="8" dxfId="0" stopIfTrue="1">
      <formula>AND(MOD(ROW(),2),COUNTA($B$4:$D$4))</formula>
    </cfRule>
  </conditionalFormatting>
  <conditionalFormatting sqref="B100">
    <cfRule type="expression" priority="6" dxfId="0" stopIfTrue="1">
      <formula>AND(MOD(ROW(),2),COUNTA($B$4:$D$4))</formula>
    </cfRule>
  </conditionalFormatting>
  <conditionalFormatting sqref="C101">
    <cfRule type="expression" priority="5" dxfId="0" stopIfTrue="1">
      <formula>AND(MOD(ROW(),2),COUNTA($B$4:$D$4))</formula>
    </cfRule>
  </conditionalFormatting>
  <conditionalFormatting sqref="C102:C105">
    <cfRule type="expression" priority="4" dxfId="0" stopIfTrue="1">
      <formula>AND(MOD(ROW(),2),COUNTA($B$4:$D$4))</formula>
    </cfRule>
  </conditionalFormatting>
  <conditionalFormatting sqref="B104:B105">
    <cfRule type="expression" priority="1" dxfId="0" stopIfTrue="1">
      <formula>AND(MOD(ROW(),2),COUNTA($B$4:$D$4))</formula>
    </cfRule>
  </conditionalFormatting>
  <conditionalFormatting sqref="B102">
    <cfRule type="expression" priority="2" dxfId="0" stopIfTrue="1">
      <formula>AND(MOD(ROW(),2),COUNTA($B$4:$D$4))</formula>
    </cfRule>
  </conditionalFormatting>
  <hyperlinks>
    <hyperlink ref="C78" r:id="rId1" display="http://www.nitag-resource.org/media-center/document/1517-evaluation-tool-for-national-immunization-technical-advisory-groups-nitags"/>
  </hyperlinks>
  <printOptions/>
  <pageMargins left="0.5905511811023623" right="0.5905511811023623" top="0.3937007874015748" bottom="0.5118110236220472" header="0.2755905511811024" footer="0.2755905511811024"/>
  <pageSetup fitToHeight="5" fitToWidth="1" horizontalDpi="600" verticalDpi="600" orientation="portrait" r:id="rId2"/>
  <headerFooter alignWithMargins="0">
    <oddFooter>&amp;L&amp;"Verdana,Regular"&amp;8WHO/UNICEF JRF données pour &amp;KFF00002015
&amp;K000000&amp;F&amp;R&amp;"Verdana,Regular"&amp;8Section &amp;A, pg. &amp;P</oddFooter>
  </headerFooter>
  <rowBreaks count="1" manualBreakCount="1">
    <brk id="44" max="3" man="1"/>
  </rowBreaks>
  <colBreaks count="1" manualBreakCount="1">
    <brk id="4" max="65535" man="1"/>
  </colBreaks>
  <ignoredErrors>
    <ignoredError sqref="B50 B4" numberStoredAsText="1"/>
  </ignoredErrors>
</worksheet>
</file>

<file path=xl/worksheets/sheet13.xml><?xml version="1.0" encoding="utf-8"?>
<worksheet xmlns="http://schemas.openxmlformats.org/spreadsheetml/2006/main" xmlns:r="http://schemas.openxmlformats.org/officeDocument/2006/relationships">
  <sheetPr>
    <tabColor rgb="FFCCFFCC"/>
    <pageSetUpPr fitToPage="1"/>
  </sheetPr>
  <dimension ref="A1:M36"/>
  <sheetViews>
    <sheetView showGridLines="0" showRowColHeaders="0" zoomScalePageLayoutView="0" workbookViewId="0" topLeftCell="A1">
      <selection activeCell="B36" sqref="B36:M36"/>
    </sheetView>
  </sheetViews>
  <sheetFormatPr defaultColWidth="9.140625" defaultRowHeight="12.75"/>
  <cols>
    <col min="1" max="16384" width="9.140625" style="403" customWidth="1"/>
  </cols>
  <sheetData>
    <row r="1" ht="12.75">
      <c r="A1" s="457" t="s">
        <v>1370</v>
      </c>
    </row>
    <row r="3" spans="1:13" ht="41.25" customHeight="1">
      <c r="A3" s="957" t="s">
        <v>1371</v>
      </c>
      <c r="B3" s="957"/>
      <c r="C3" s="957"/>
      <c r="D3" s="957"/>
      <c r="E3" s="957"/>
      <c r="F3" s="957"/>
      <c r="G3" s="957"/>
      <c r="H3" s="957"/>
      <c r="I3" s="957"/>
      <c r="J3" s="957"/>
      <c r="K3" s="957"/>
      <c r="L3" s="957"/>
      <c r="M3" s="957"/>
    </row>
    <row r="6" spans="2:13" ht="15.75" thickBot="1">
      <c r="B6" s="458" t="s">
        <v>1372</v>
      </c>
      <c r="C6" s="459"/>
      <c r="D6" s="459"/>
      <c r="E6" s="459"/>
      <c r="F6" s="459"/>
      <c r="G6" s="459"/>
      <c r="H6" s="459"/>
      <c r="I6" s="459"/>
      <c r="J6" s="459"/>
      <c r="K6" s="464"/>
      <c r="L6" s="460"/>
      <c r="M6" s="460"/>
    </row>
    <row r="7" spans="2:13" ht="90" thickBot="1">
      <c r="B7" s="465" t="s">
        <v>1357</v>
      </c>
      <c r="C7" s="466" t="s">
        <v>1373</v>
      </c>
      <c r="D7" s="466" t="s">
        <v>1374</v>
      </c>
      <c r="E7" s="466" t="s">
        <v>1375</v>
      </c>
      <c r="F7" s="466" t="s">
        <v>1376</v>
      </c>
      <c r="G7" s="466" t="s">
        <v>1377</v>
      </c>
      <c r="H7" s="466" t="s">
        <v>1378</v>
      </c>
      <c r="I7" s="466" t="s">
        <v>1379</v>
      </c>
      <c r="J7" s="466" t="s">
        <v>1380</v>
      </c>
      <c r="K7" s="466" t="s">
        <v>1381</v>
      </c>
      <c r="L7" s="466" t="s">
        <v>1382</v>
      </c>
      <c r="M7" s="466" t="s">
        <v>1383</v>
      </c>
    </row>
    <row r="8" spans="2:13" ht="13.5" thickBot="1">
      <c r="B8" s="467" t="s">
        <v>1358</v>
      </c>
      <c r="C8" s="468" t="s">
        <v>1384</v>
      </c>
      <c r="D8" s="468" t="s">
        <v>1384</v>
      </c>
      <c r="E8" s="468" t="s">
        <v>1384</v>
      </c>
      <c r="F8" s="468" t="s">
        <v>1384</v>
      </c>
      <c r="G8" s="468" t="s">
        <v>1384</v>
      </c>
      <c r="H8" s="468" t="s">
        <v>1384</v>
      </c>
      <c r="I8" s="468" t="s">
        <v>1384</v>
      </c>
      <c r="J8" s="468" t="s">
        <v>1384</v>
      </c>
      <c r="K8" s="468" t="s">
        <v>1384</v>
      </c>
      <c r="L8" s="468" t="s">
        <v>1384</v>
      </c>
      <c r="M8" s="468" t="s">
        <v>1384</v>
      </c>
    </row>
    <row r="9" spans="2:13" ht="13.5" thickBot="1">
      <c r="B9" s="467" t="s">
        <v>1359</v>
      </c>
      <c r="C9" s="469" t="s">
        <v>1385</v>
      </c>
      <c r="D9" s="469" t="s">
        <v>1385</v>
      </c>
      <c r="E9" s="468" t="s">
        <v>1384</v>
      </c>
      <c r="F9" s="468" t="s">
        <v>1384</v>
      </c>
      <c r="G9" s="468" t="s">
        <v>1384</v>
      </c>
      <c r="H9" s="468" t="s">
        <v>1384</v>
      </c>
      <c r="I9" s="468" t="s">
        <v>1384</v>
      </c>
      <c r="J9" s="468" t="s">
        <v>1384</v>
      </c>
      <c r="K9" s="468" t="s">
        <v>1384</v>
      </c>
      <c r="L9" s="468" t="s">
        <v>1384</v>
      </c>
      <c r="M9" s="468" t="s">
        <v>1384</v>
      </c>
    </row>
    <row r="10" spans="2:13" ht="13.5" thickBot="1">
      <c r="B10" s="467" t="s">
        <v>1360</v>
      </c>
      <c r="C10" s="469" t="s">
        <v>1385</v>
      </c>
      <c r="D10" s="469" t="s">
        <v>1385</v>
      </c>
      <c r="E10" s="469" t="s">
        <v>1385</v>
      </c>
      <c r="F10" s="468" t="s">
        <v>1384</v>
      </c>
      <c r="G10" s="468" t="s">
        <v>1384</v>
      </c>
      <c r="H10" s="468" t="s">
        <v>1384</v>
      </c>
      <c r="I10" s="468" t="s">
        <v>1384</v>
      </c>
      <c r="J10" s="468" t="s">
        <v>1384</v>
      </c>
      <c r="K10" s="468" t="s">
        <v>1384</v>
      </c>
      <c r="L10" s="468" t="s">
        <v>1384</v>
      </c>
      <c r="M10" s="468" t="s">
        <v>1384</v>
      </c>
    </row>
    <row r="11" spans="2:13" ht="13.5" thickBot="1">
      <c r="B11" s="467" t="s">
        <v>1361</v>
      </c>
      <c r="C11" s="469" t="s">
        <v>1385</v>
      </c>
      <c r="D11" s="469" t="s">
        <v>1385</v>
      </c>
      <c r="E11" s="469" t="s">
        <v>1385</v>
      </c>
      <c r="F11" s="469" t="s">
        <v>1385</v>
      </c>
      <c r="G11" s="468" t="s">
        <v>1384</v>
      </c>
      <c r="H11" s="468" t="s">
        <v>1384</v>
      </c>
      <c r="I11" s="468" t="s">
        <v>1384</v>
      </c>
      <c r="J11" s="468" t="s">
        <v>1384</v>
      </c>
      <c r="K11" s="468" t="s">
        <v>1384</v>
      </c>
      <c r="L11" s="468" t="s">
        <v>1384</v>
      </c>
      <c r="M11" s="468" t="s">
        <v>1384</v>
      </c>
    </row>
    <row r="12" spans="2:13" ht="13.5" thickBot="1">
      <c r="B12" s="467" t="s">
        <v>1362</v>
      </c>
      <c r="C12" s="469" t="s">
        <v>1385</v>
      </c>
      <c r="D12" s="469" t="s">
        <v>1385</v>
      </c>
      <c r="E12" s="469" t="s">
        <v>1385</v>
      </c>
      <c r="F12" s="469" t="s">
        <v>1385</v>
      </c>
      <c r="G12" s="469" t="s">
        <v>1385</v>
      </c>
      <c r="H12" s="469" t="s">
        <v>1385</v>
      </c>
      <c r="I12" s="468" t="s">
        <v>1384</v>
      </c>
      <c r="J12" s="468" t="s">
        <v>1384</v>
      </c>
      <c r="K12" s="468" t="s">
        <v>1384</v>
      </c>
      <c r="L12" s="468" t="s">
        <v>1384</v>
      </c>
      <c r="M12" s="468" t="s">
        <v>1384</v>
      </c>
    </row>
    <row r="13" spans="2:13" ht="13.5" thickBot="1">
      <c r="B13" s="467" t="s">
        <v>1363</v>
      </c>
      <c r="C13" s="469" t="s">
        <v>1385</v>
      </c>
      <c r="D13" s="469" t="s">
        <v>1385</v>
      </c>
      <c r="E13" s="469" t="s">
        <v>1385</v>
      </c>
      <c r="F13" s="469" t="s">
        <v>1385</v>
      </c>
      <c r="G13" s="469" t="s">
        <v>1385</v>
      </c>
      <c r="H13" s="469" t="s">
        <v>1385</v>
      </c>
      <c r="I13" s="468" t="s">
        <v>1384</v>
      </c>
      <c r="J13" s="468" t="s">
        <v>1384</v>
      </c>
      <c r="K13" s="469" t="s">
        <v>1385</v>
      </c>
      <c r="L13" s="468" t="s">
        <v>1384</v>
      </c>
      <c r="M13" s="468" t="s">
        <v>1384</v>
      </c>
    </row>
    <row r="14" spans="2:13" ht="13.5" thickBot="1">
      <c r="B14" s="467" t="s">
        <v>1364</v>
      </c>
      <c r="C14" s="469" t="s">
        <v>1385</v>
      </c>
      <c r="D14" s="469" t="s">
        <v>1385</v>
      </c>
      <c r="E14" s="469" t="s">
        <v>1385</v>
      </c>
      <c r="F14" s="469" t="s">
        <v>1385</v>
      </c>
      <c r="G14" s="469" t="s">
        <v>1385</v>
      </c>
      <c r="H14" s="469" t="s">
        <v>1385</v>
      </c>
      <c r="I14" s="469" t="s">
        <v>1385</v>
      </c>
      <c r="J14" s="469" t="s">
        <v>1385</v>
      </c>
      <c r="K14" s="468" t="s">
        <v>1384</v>
      </c>
      <c r="L14" s="468" t="s">
        <v>1384</v>
      </c>
      <c r="M14" s="468" t="s">
        <v>1384</v>
      </c>
    </row>
    <row r="15" spans="2:13" ht="13.5" thickBot="1">
      <c r="B15" s="467" t="s">
        <v>1365</v>
      </c>
      <c r="C15" s="469" t="s">
        <v>1385</v>
      </c>
      <c r="D15" s="469" t="s">
        <v>1385</v>
      </c>
      <c r="E15" s="469" t="s">
        <v>1385</v>
      </c>
      <c r="F15" s="469" t="s">
        <v>1385</v>
      </c>
      <c r="G15" s="469" t="s">
        <v>1385</v>
      </c>
      <c r="H15" s="469" t="s">
        <v>1385</v>
      </c>
      <c r="I15" s="469" t="s">
        <v>1385</v>
      </c>
      <c r="J15" s="469" t="s">
        <v>1385</v>
      </c>
      <c r="K15" s="469" t="s">
        <v>1385</v>
      </c>
      <c r="L15" s="468" t="s">
        <v>1384</v>
      </c>
      <c r="M15" s="468" t="s">
        <v>1384</v>
      </c>
    </row>
    <row r="16" spans="2:13" ht="13.5" thickBot="1">
      <c r="B16" s="467" t="s">
        <v>1366</v>
      </c>
      <c r="C16" s="469" t="s">
        <v>1385</v>
      </c>
      <c r="D16" s="469" t="s">
        <v>1385</v>
      </c>
      <c r="E16" s="469" t="s">
        <v>1385</v>
      </c>
      <c r="F16" s="469" t="s">
        <v>1385</v>
      </c>
      <c r="G16" s="469" t="s">
        <v>1385</v>
      </c>
      <c r="H16" s="469" t="s">
        <v>1385</v>
      </c>
      <c r="I16" s="469" t="s">
        <v>1385</v>
      </c>
      <c r="J16" s="469" t="s">
        <v>1385</v>
      </c>
      <c r="K16" s="469" t="s">
        <v>1385</v>
      </c>
      <c r="L16" s="468" t="s">
        <v>1384</v>
      </c>
      <c r="M16" s="468" t="s">
        <v>1384</v>
      </c>
    </row>
    <row r="17" spans="2:13" ht="13.5" thickBot="1">
      <c r="B17" s="467" t="s">
        <v>1367</v>
      </c>
      <c r="C17" s="469" t="s">
        <v>1385</v>
      </c>
      <c r="D17" s="469" t="s">
        <v>1385</v>
      </c>
      <c r="E17" s="469" t="s">
        <v>1385</v>
      </c>
      <c r="F17" s="469" t="s">
        <v>1385</v>
      </c>
      <c r="G17" s="469" t="s">
        <v>1385</v>
      </c>
      <c r="H17" s="469" t="s">
        <v>1385</v>
      </c>
      <c r="I17" s="469" t="s">
        <v>1385</v>
      </c>
      <c r="J17" s="469" t="s">
        <v>1385</v>
      </c>
      <c r="K17" s="469" t="s">
        <v>1385</v>
      </c>
      <c r="L17" s="468" t="s">
        <v>1384</v>
      </c>
      <c r="M17" s="468" t="s">
        <v>1384</v>
      </c>
    </row>
    <row r="18" spans="2:13" ht="13.5" thickBot="1">
      <c r="B18" s="467" t="s">
        <v>1368</v>
      </c>
      <c r="C18" s="469" t="s">
        <v>1385</v>
      </c>
      <c r="D18" s="469" t="s">
        <v>1385</v>
      </c>
      <c r="E18" s="469" t="s">
        <v>1385</v>
      </c>
      <c r="F18" s="469" t="s">
        <v>1385</v>
      </c>
      <c r="G18" s="469" t="s">
        <v>1385</v>
      </c>
      <c r="H18" s="469" t="s">
        <v>1385</v>
      </c>
      <c r="I18" s="469" t="s">
        <v>1385</v>
      </c>
      <c r="J18" s="469" t="s">
        <v>1385</v>
      </c>
      <c r="K18" s="469" t="s">
        <v>1385</v>
      </c>
      <c r="L18" s="469" t="s">
        <v>1385</v>
      </c>
      <c r="M18" s="469" t="s">
        <v>1385</v>
      </c>
    </row>
    <row r="19" spans="2:13" ht="33.75" customHeight="1">
      <c r="B19" s="956" t="s">
        <v>1386</v>
      </c>
      <c r="C19" s="956"/>
      <c r="D19" s="956"/>
      <c r="E19" s="956"/>
      <c r="F19" s="956"/>
      <c r="G19" s="956"/>
      <c r="H19" s="956"/>
      <c r="I19" s="956"/>
      <c r="J19" s="956"/>
      <c r="K19" s="956"/>
      <c r="L19" s="956"/>
      <c r="M19" s="956"/>
    </row>
    <row r="20" spans="2:13" ht="12.75">
      <c r="B20" s="958" t="s">
        <v>1369</v>
      </c>
      <c r="C20" s="958"/>
      <c r="D20" s="958"/>
      <c r="E20" s="958"/>
      <c r="F20" s="958"/>
      <c r="G20" s="958"/>
      <c r="H20" s="958"/>
      <c r="I20" s="958"/>
      <c r="J20" s="958"/>
      <c r="K20" s="958"/>
      <c r="L20" s="958"/>
      <c r="M20" s="958"/>
    </row>
    <row r="22" spans="2:13" ht="15">
      <c r="B22" s="462" t="s">
        <v>1387</v>
      </c>
      <c r="C22" s="461"/>
      <c r="D22" s="461"/>
      <c r="E22" s="461"/>
      <c r="F22" s="461"/>
      <c r="G22" s="461"/>
      <c r="H22" s="461"/>
      <c r="I22" s="461"/>
      <c r="J22" s="461"/>
      <c r="K22" s="461"/>
      <c r="L22" s="461"/>
      <c r="M22" s="461"/>
    </row>
    <row r="23" spans="2:13" ht="12.75">
      <c r="B23" s="463" t="s">
        <v>1389</v>
      </c>
      <c r="C23" s="461"/>
      <c r="D23" s="461"/>
      <c r="E23" s="461"/>
      <c r="F23" s="461"/>
      <c r="G23" s="461"/>
      <c r="H23" s="461"/>
      <c r="I23" s="461"/>
      <c r="J23" s="461"/>
      <c r="K23" s="461"/>
      <c r="L23" s="461"/>
      <c r="M23" s="461"/>
    </row>
    <row r="24" spans="2:13" ht="38.25" customHeight="1">
      <c r="B24" s="959" t="s">
        <v>1388</v>
      </c>
      <c r="C24" s="960"/>
      <c r="D24" s="960"/>
      <c r="E24" s="960"/>
      <c r="F24" s="960"/>
      <c r="G24" s="960"/>
      <c r="H24" s="960"/>
      <c r="I24" s="960"/>
      <c r="J24" s="960"/>
      <c r="K24" s="960"/>
      <c r="L24" s="960"/>
      <c r="M24" s="960"/>
    </row>
    <row r="25" spans="2:13" ht="12.75">
      <c r="B25" s="471" t="s">
        <v>1390</v>
      </c>
      <c r="C25" s="461"/>
      <c r="D25" s="461"/>
      <c r="E25" s="461"/>
      <c r="F25" s="461"/>
      <c r="G25" s="461"/>
      <c r="H25" s="461"/>
      <c r="I25" s="461"/>
      <c r="J25" s="461"/>
      <c r="K25" s="461"/>
      <c r="L25" s="461"/>
      <c r="M25" s="461"/>
    </row>
    <row r="26" spans="2:13" ht="57.75" customHeight="1">
      <c r="B26" s="954" t="s">
        <v>1391</v>
      </c>
      <c r="C26" s="955"/>
      <c r="D26" s="955"/>
      <c r="E26" s="955"/>
      <c r="F26" s="955"/>
      <c r="G26" s="955"/>
      <c r="H26" s="955"/>
      <c r="I26" s="955"/>
      <c r="J26" s="955"/>
      <c r="K26" s="955"/>
      <c r="L26" s="955"/>
      <c r="M26" s="955"/>
    </row>
    <row r="27" spans="2:13" ht="12.75">
      <c r="B27" s="470" t="s">
        <v>1392</v>
      </c>
      <c r="C27" s="461"/>
      <c r="D27" s="461"/>
      <c r="E27" s="461"/>
      <c r="F27" s="461"/>
      <c r="G27" s="461"/>
      <c r="H27" s="461"/>
      <c r="I27" s="461"/>
      <c r="J27" s="461"/>
      <c r="K27" s="461"/>
      <c r="L27" s="461"/>
      <c r="M27" s="461"/>
    </row>
    <row r="28" spans="2:13" ht="49.5" customHeight="1">
      <c r="B28" s="954" t="s">
        <v>1393</v>
      </c>
      <c r="C28" s="955"/>
      <c r="D28" s="955"/>
      <c r="E28" s="955"/>
      <c r="F28" s="955"/>
      <c r="G28" s="955"/>
      <c r="H28" s="955"/>
      <c r="I28" s="955"/>
      <c r="J28" s="955"/>
      <c r="K28" s="955"/>
      <c r="L28" s="955"/>
      <c r="M28" s="955"/>
    </row>
    <row r="29" spans="2:13" ht="12.75">
      <c r="B29" s="463" t="s">
        <v>1394</v>
      </c>
      <c r="C29" s="461"/>
      <c r="D29" s="461"/>
      <c r="E29" s="461"/>
      <c r="F29" s="461"/>
      <c r="G29" s="461"/>
      <c r="H29" s="461"/>
      <c r="I29" s="461"/>
      <c r="J29" s="461"/>
      <c r="K29" s="461"/>
      <c r="L29" s="461"/>
      <c r="M29" s="461"/>
    </row>
    <row r="30" spans="2:13" ht="91.5" customHeight="1">
      <c r="B30" s="954" t="s">
        <v>1395</v>
      </c>
      <c r="C30" s="955"/>
      <c r="D30" s="955"/>
      <c r="E30" s="955"/>
      <c r="F30" s="955"/>
      <c r="G30" s="955"/>
      <c r="H30" s="955"/>
      <c r="I30" s="955"/>
      <c r="J30" s="955"/>
      <c r="K30" s="955"/>
      <c r="L30" s="955"/>
      <c r="M30" s="955"/>
    </row>
    <row r="31" spans="2:13" ht="12.75">
      <c r="B31" s="463" t="s">
        <v>1396</v>
      </c>
      <c r="C31" s="461"/>
      <c r="D31" s="461"/>
      <c r="E31" s="461"/>
      <c r="F31" s="461"/>
      <c r="G31" s="461"/>
      <c r="H31" s="461"/>
      <c r="I31" s="461"/>
      <c r="J31" s="461"/>
      <c r="K31" s="461"/>
      <c r="L31" s="461"/>
      <c r="M31" s="461"/>
    </row>
    <row r="32" spans="2:13" ht="67.5" customHeight="1">
      <c r="B32" s="954" t="s">
        <v>1397</v>
      </c>
      <c r="C32" s="955"/>
      <c r="D32" s="955"/>
      <c r="E32" s="955"/>
      <c r="F32" s="955"/>
      <c r="G32" s="955"/>
      <c r="H32" s="955"/>
      <c r="I32" s="955"/>
      <c r="J32" s="955"/>
      <c r="K32" s="955"/>
      <c r="L32" s="955"/>
      <c r="M32" s="955"/>
    </row>
    <row r="33" spans="2:13" ht="12.75">
      <c r="B33" s="463" t="s">
        <v>1398</v>
      </c>
      <c r="C33" s="461"/>
      <c r="D33" s="461"/>
      <c r="E33" s="461"/>
      <c r="F33" s="461"/>
      <c r="G33" s="461"/>
      <c r="H33" s="461"/>
      <c r="I33" s="461"/>
      <c r="J33" s="461"/>
      <c r="K33" s="461"/>
      <c r="L33" s="461"/>
      <c r="M33" s="461"/>
    </row>
    <row r="34" spans="2:13" ht="47.25" customHeight="1">
      <c r="B34" s="954" t="s">
        <v>1399</v>
      </c>
      <c r="C34" s="955"/>
      <c r="D34" s="955"/>
      <c r="E34" s="955"/>
      <c r="F34" s="955"/>
      <c r="G34" s="955"/>
      <c r="H34" s="955"/>
      <c r="I34" s="955"/>
      <c r="J34" s="955"/>
      <c r="K34" s="955"/>
      <c r="L34" s="955"/>
      <c r="M34" s="955"/>
    </row>
    <row r="35" spans="2:13" ht="12.75">
      <c r="B35" s="463" t="s">
        <v>1400</v>
      </c>
      <c r="C35" s="461"/>
      <c r="D35" s="461"/>
      <c r="E35" s="461"/>
      <c r="F35" s="461"/>
      <c r="G35" s="461"/>
      <c r="H35" s="461"/>
      <c r="I35" s="461"/>
      <c r="J35" s="461"/>
      <c r="K35" s="461"/>
      <c r="L35" s="461"/>
      <c r="M35" s="461"/>
    </row>
    <row r="36" spans="2:13" ht="69" customHeight="1">
      <c r="B36" s="954" t="s">
        <v>1401</v>
      </c>
      <c r="C36" s="955"/>
      <c r="D36" s="955"/>
      <c r="E36" s="955"/>
      <c r="F36" s="955"/>
      <c r="G36" s="955"/>
      <c r="H36" s="955"/>
      <c r="I36" s="955"/>
      <c r="J36" s="955"/>
      <c r="K36" s="955"/>
      <c r="L36" s="955"/>
      <c r="M36" s="955"/>
    </row>
  </sheetData>
  <sheetProtection/>
  <mergeCells count="10">
    <mergeCell ref="B30:M30"/>
    <mergeCell ref="B32:M32"/>
    <mergeCell ref="B34:M34"/>
    <mergeCell ref="B36:M36"/>
    <mergeCell ref="B19:M19"/>
    <mergeCell ref="A3:M3"/>
    <mergeCell ref="B20:M20"/>
    <mergeCell ref="B24:M24"/>
    <mergeCell ref="B26:M26"/>
    <mergeCell ref="B28:M28"/>
  </mergeCells>
  <hyperlinks>
    <hyperlink ref="B20" r:id="rId1" display="http://www.iccwbo.org/products-and-services/trade-facilitation/incoterms-2010/the-incoterms-rul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2"/>
  <headerFooter>
    <oddFooter>&amp;LWHO/UNICEF JRF data for 2016
&amp;F&amp;RSection &amp;A, pg. &amp;P</oddFooter>
  </headerFooter>
</worksheet>
</file>

<file path=xl/worksheets/sheet14.xml><?xml version="1.0" encoding="utf-8"?>
<worksheet xmlns="http://schemas.openxmlformats.org/spreadsheetml/2006/main" xmlns:r="http://schemas.openxmlformats.org/officeDocument/2006/relationships">
  <sheetPr>
    <tabColor indexed="42"/>
    <pageSetUpPr fitToPage="1"/>
  </sheetPr>
  <dimension ref="A2:P11"/>
  <sheetViews>
    <sheetView showGridLines="0" showRowColHeaders="0" workbookViewId="0" topLeftCell="A1">
      <selection activeCell="N2" sqref="N2"/>
    </sheetView>
  </sheetViews>
  <sheetFormatPr defaultColWidth="9.140625" defaultRowHeight="12.75"/>
  <cols>
    <col min="1" max="1" width="4.28125" style="2" customWidth="1"/>
    <col min="2" max="2" width="9.57421875" style="2" bestFit="1" customWidth="1"/>
    <col min="3" max="8" width="7.00390625" style="2" customWidth="1"/>
    <col min="9" max="9" width="9.00390625" style="2" bestFit="1" customWidth="1"/>
    <col min="10" max="10" width="8.7109375" style="2" customWidth="1"/>
    <col min="11" max="15" width="7.00390625" style="2" customWidth="1"/>
    <col min="16" max="16" width="5.7109375" style="2" customWidth="1"/>
    <col min="17" max="17" width="7.00390625" style="2" customWidth="1"/>
    <col min="18" max="16384" width="9.140625" style="2" customWidth="1"/>
  </cols>
  <sheetData>
    <row r="1" ht="21" customHeight="1" thickBot="1"/>
    <row r="2" spans="2:16" ht="34.5" customHeight="1" thickBot="1">
      <c r="B2" s="967" t="s">
        <v>1520</v>
      </c>
      <c r="C2" s="968"/>
      <c r="D2" s="968"/>
      <c r="E2" s="968"/>
      <c r="F2" s="968"/>
      <c r="G2" s="968"/>
      <c r="H2" s="968"/>
      <c r="I2" s="968"/>
      <c r="J2" s="968"/>
      <c r="K2" s="968"/>
      <c r="L2" s="108"/>
      <c r="M2" s="99"/>
      <c r="N2" s="108" t="str">
        <f>HYPERLINK(CONCATENATE(Filename,"C_2010_A"),"Retour»")</f>
        <v>Retour»</v>
      </c>
      <c r="O2" s="99"/>
      <c r="P2" s="107"/>
    </row>
    <row r="3" spans="2:16" ht="83.25" customHeight="1">
      <c r="B3" s="961" t="s">
        <v>1518</v>
      </c>
      <c r="C3" s="962"/>
      <c r="D3" s="962"/>
      <c r="E3" s="962"/>
      <c r="F3" s="962"/>
      <c r="G3" s="962"/>
      <c r="H3" s="962"/>
      <c r="I3" s="962"/>
      <c r="J3" s="962"/>
      <c r="K3" s="962"/>
      <c r="L3" s="962"/>
      <c r="M3" s="962"/>
      <c r="N3" s="962"/>
      <c r="O3" s="962"/>
      <c r="P3" s="963"/>
    </row>
    <row r="4" spans="2:16" ht="15.75" customHeight="1">
      <c r="B4" s="85" t="s">
        <v>421</v>
      </c>
      <c r="C4" s="4"/>
      <c r="D4" s="4"/>
      <c r="E4" s="4"/>
      <c r="F4" s="4"/>
      <c r="G4" s="4"/>
      <c r="H4" s="4"/>
      <c r="I4" s="4"/>
      <c r="J4" s="4"/>
      <c r="K4" s="4"/>
      <c r="L4" s="4"/>
      <c r="M4" s="4"/>
      <c r="N4" s="4"/>
      <c r="O4" s="4"/>
      <c r="P4" s="86"/>
    </row>
    <row r="5" spans="2:16" ht="21.75">
      <c r="B5" s="103" t="s">
        <v>422</v>
      </c>
      <c r="C5" s="11" t="s">
        <v>423</v>
      </c>
      <c r="D5" s="11" t="s">
        <v>424</v>
      </c>
      <c r="E5" s="11" t="s">
        <v>425</v>
      </c>
      <c r="F5" s="11" t="s">
        <v>426</v>
      </c>
      <c r="G5" s="11" t="s">
        <v>427</v>
      </c>
      <c r="H5" s="11" t="s">
        <v>428</v>
      </c>
      <c r="I5" s="101" t="s">
        <v>429</v>
      </c>
      <c r="J5" s="11" t="s">
        <v>423</v>
      </c>
      <c r="K5" s="11" t="s">
        <v>424</v>
      </c>
      <c r="L5" s="11" t="s">
        <v>425</v>
      </c>
      <c r="M5" s="11" t="s">
        <v>426</v>
      </c>
      <c r="N5" s="11" t="s">
        <v>427</v>
      </c>
      <c r="O5" s="11" t="s">
        <v>428</v>
      </c>
      <c r="P5" s="109"/>
    </row>
    <row r="6" spans="2:16" s="37" customFormat="1" ht="42.75">
      <c r="B6" s="104" t="s">
        <v>451</v>
      </c>
      <c r="C6" s="33" t="s">
        <v>723</v>
      </c>
      <c r="D6" s="33" t="s">
        <v>724</v>
      </c>
      <c r="E6" s="33" t="s">
        <v>725</v>
      </c>
      <c r="F6" s="33"/>
      <c r="G6" s="33"/>
      <c r="H6" s="33"/>
      <c r="I6" s="38" t="s">
        <v>430</v>
      </c>
      <c r="J6" s="33" t="s">
        <v>368</v>
      </c>
      <c r="K6" s="33" t="s">
        <v>726</v>
      </c>
      <c r="L6" s="33" t="s">
        <v>727</v>
      </c>
      <c r="M6" s="33" t="s">
        <v>728</v>
      </c>
      <c r="N6" s="33" t="s">
        <v>728</v>
      </c>
      <c r="O6" s="102"/>
      <c r="P6" s="110"/>
    </row>
    <row r="7" spans="2:16" ht="9.75" customHeight="1">
      <c r="B7" s="105"/>
      <c r="C7" s="100"/>
      <c r="D7" s="100"/>
      <c r="E7" s="100"/>
      <c r="F7" s="100"/>
      <c r="G7" s="100"/>
      <c r="H7" s="100"/>
      <c r="I7" s="100"/>
      <c r="J7" s="100"/>
      <c r="K7" s="100"/>
      <c r="L7" s="100"/>
      <c r="M7" s="100"/>
      <c r="N7" s="100"/>
      <c r="O7" s="100"/>
      <c r="P7" s="106"/>
    </row>
    <row r="8" spans="2:16" ht="49.5" customHeight="1">
      <c r="B8" s="971" t="s">
        <v>986</v>
      </c>
      <c r="C8" s="972"/>
      <c r="D8" s="972"/>
      <c r="E8" s="972"/>
      <c r="F8" s="972"/>
      <c r="G8" s="972"/>
      <c r="H8" s="972"/>
      <c r="I8" s="972"/>
      <c r="J8" s="972"/>
      <c r="K8" s="972"/>
      <c r="L8" s="972"/>
      <c r="M8" s="972"/>
      <c r="N8" s="972"/>
      <c r="O8" s="972"/>
      <c r="P8" s="973"/>
    </row>
    <row r="9" spans="2:16" ht="60" customHeight="1">
      <c r="B9" s="971" t="s">
        <v>874</v>
      </c>
      <c r="C9" s="972"/>
      <c r="D9" s="972"/>
      <c r="E9" s="972"/>
      <c r="F9" s="972"/>
      <c r="G9" s="972"/>
      <c r="H9" s="972"/>
      <c r="I9" s="972"/>
      <c r="J9" s="972"/>
      <c r="K9" s="972"/>
      <c r="L9" s="972"/>
      <c r="M9" s="972"/>
      <c r="N9" s="972"/>
      <c r="O9" s="972"/>
      <c r="P9" s="973"/>
    </row>
    <row r="10" spans="1:16" ht="79.5" customHeight="1">
      <c r="A10" s="86"/>
      <c r="B10" s="969" t="s">
        <v>875</v>
      </c>
      <c r="C10" s="969"/>
      <c r="D10" s="969"/>
      <c r="E10" s="969"/>
      <c r="F10" s="969"/>
      <c r="G10" s="969"/>
      <c r="H10" s="969"/>
      <c r="I10" s="969"/>
      <c r="J10" s="969"/>
      <c r="K10" s="969"/>
      <c r="L10" s="969"/>
      <c r="M10" s="969"/>
      <c r="N10" s="969"/>
      <c r="O10" s="969"/>
      <c r="P10" s="970"/>
    </row>
    <row r="11" spans="2:16" ht="48" customHeight="1" thickBot="1">
      <c r="B11" s="964" t="s">
        <v>1519</v>
      </c>
      <c r="C11" s="965"/>
      <c r="D11" s="965"/>
      <c r="E11" s="965"/>
      <c r="F11" s="965"/>
      <c r="G11" s="965"/>
      <c r="H11" s="965"/>
      <c r="I11" s="965"/>
      <c r="J11" s="965"/>
      <c r="K11" s="965"/>
      <c r="L11" s="965"/>
      <c r="M11" s="965"/>
      <c r="N11" s="965"/>
      <c r="O11" s="965"/>
      <c r="P11" s="966"/>
    </row>
  </sheetData>
  <sheetProtection password="F319" sheet="1"/>
  <mergeCells count="6">
    <mergeCell ref="B3:P3"/>
    <mergeCell ref="B11:P11"/>
    <mergeCell ref="B2:K2"/>
    <mergeCell ref="B10:P10"/>
    <mergeCell ref="B8:P8"/>
    <mergeCell ref="B9:P9"/>
  </mergeCells>
  <printOptions/>
  <pageMargins left="0.7480314960629921" right="0.7480314960629921" top="0.984251968503937" bottom="0.984251968503937" header="0.5118110236220472" footer="0.5118110236220472"/>
  <pageSetup fitToHeight="1" fitToWidth="1" horizontalDpi="600" verticalDpi="600" orientation="landscape" scale="77" r:id="rId1"/>
  <headerFooter alignWithMargins="0">
    <oddFooter>&amp;L&amp;"Verdana,Regular"&amp;8WHO/UNICEF JRF données pour &amp;KFF00002015&amp;K000000
&amp;F&amp;R&amp;"Verdana,Regular"&amp;8Section &amp;A, pg. &amp;P</oddFooter>
  </headerFooter>
</worksheet>
</file>

<file path=xl/worksheets/sheet15.xml><?xml version="1.0" encoding="utf-8"?>
<worksheet xmlns="http://schemas.openxmlformats.org/spreadsheetml/2006/main" xmlns:r="http://schemas.openxmlformats.org/officeDocument/2006/relationships">
  <sheetPr>
    <tabColor indexed="13"/>
  </sheetPr>
  <dimension ref="A2:H198"/>
  <sheetViews>
    <sheetView zoomScalePageLayoutView="0" workbookViewId="0" topLeftCell="A1">
      <selection activeCell="L99" sqref="L99"/>
    </sheetView>
  </sheetViews>
  <sheetFormatPr defaultColWidth="9.140625" defaultRowHeight="12.75"/>
  <cols>
    <col min="2" max="2" width="27.28125" style="0" bestFit="1" customWidth="1"/>
    <col min="4" max="4" width="13.7109375" style="0" customWidth="1"/>
    <col min="5" max="5" width="21.421875" style="0" customWidth="1"/>
    <col min="6" max="6" width="18.8515625" style="0" customWidth="1"/>
    <col min="7" max="7" width="22.28125" style="0" bestFit="1" customWidth="1"/>
  </cols>
  <sheetData>
    <row r="2" spans="1:8" ht="12.75">
      <c r="A2" s="48" t="s">
        <v>184</v>
      </c>
      <c r="B2" s="48" t="s">
        <v>88</v>
      </c>
      <c r="C2" s="48" t="s">
        <v>185</v>
      </c>
      <c r="D2" s="48" t="s">
        <v>73</v>
      </c>
      <c r="E2" s="48" t="s">
        <v>437</v>
      </c>
      <c r="F2" s="148" t="s">
        <v>90</v>
      </c>
      <c r="G2" s="148" t="s">
        <v>60</v>
      </c>
      <c r="H2" s="48" t="s">
        <v>70</v>
      </c>
    </row>
    <row r="3" spans="1:8" ht="13.5" thickBot="1">
      <c r="A3" s="304" t="s">
        <v>186</v>
      </c>
      <c r="B3" s="304" t="s">
        <v>111</v>
      </c>
      <c r="C3" s="304" t="s">
        <v>187</v>
      </c>
      <c r="D3" s="5" t="s">
        <v>42</v>
      </c>
      <c r="E3" s="2">
        <v>2017</v>
      </c>
      <c r="F3" s="2" t="s">
        <v>431</v>
      </c>
      <c r="G3" s="2" t="s">
        <v>718</v>
      </c>
      <c r="H3" t="str">
        <f ca="1">MID(CELL("filename",H3),SEARCH("[",CELL("filename",H3),1),SEARCH("]",CELL("filename",H3),1)-SEARCH("[",CELL("filename",H3),1)+1)</f>
        <v>[WHO_UNICEF_JRF_FR_2016_EMR.xls]</v>
      </c>
    </row>
    <row r="4" spans="1:7" ht="13.5" thickBot="1">
      <c r="A4" s="304" t="s">
        <v>188</v>
      </c>
      <c r="B4" s="304" t="s">
        <v>694</v>
      </c>
      <c r="C4" s="304" t="s">
        <v>189</v>
      </c>
      <c r="D4" s="5" t="s">
        <v>462</v>
      </c>
      <c r="E4" s="2">
        <v>2018</v>
      </c>
      <c r="F4" s="138" t="s">
        <v>432</v>
      </c>
      <c r="G4" s="2" t="s">
        <v>593</v>
      </c>
    </row>
    <row r="5" spans="1:5" ht="12.75">
      <c r="A5" s="304" t="s">
        <v>193</v>
      </c>
      <c r="B5" s="304" t="s">
        <v>613</v>
      </c>
      <c r="C5" s="304" t="s">
        <v>194</v>
      </c>
      <c r="D5" s="5" t="s">
        <v>711</v>
      </c>
      <c r="E5" s="2">
        <v>2019</v>
      </c>
    </row>
    <row r="6" spans="1:8" ht="12.75">
      <c r="A6" s="304" t="s">
        <v>188</v>
      </c>
      <c r="B6" s="304" t="s">
        <v>614</v>
      </c>
      <c r="C6" s="304" t="s">
        <v>195</v>
      </c>
      <c r="D6" s="5" t="s">
        <v>712</v>
      </c>
      <c r="E6" s="2">
        <v>2020</v>
      </c>
      <c r="F6" s="48" t="s">
        <v>89</v>
      </c>
      <c r="G6" s="48" t="s">
        <v>33</v>
      </c>
      <c r="H6" s="455" t="s">
        <v>1161</v>
      </c>
    </row>
    <row r="7" spans="1:8" ht="12.75">
      <c r="A7" s="304" t="s">
        <v>193</v>
      </c>
      <c r="B7" s="304" t="s">
        <v>642</v>
      </c>
      <c r="C7" s="304" t="s">
        <v>196</v>
      </c>
      <c r="D7" s="5" t="s">
        <v>713</v>
      </c>
      <c r="E7" s="2">
        <v>2021</v>
      </c>
      <c r="F7" s="2" t="s">
        <v>18</v>
      </c>
      <c r="G7" s="124" t="s">
        <v>594</v>
      </c>
      <c r="H7" s="454" t="s">
        <v>1162</v>
      </c>
    </row>
    <row r="8" spans="1:8" ht="12.75">
      <c r="A8" s="304" t="s">
        <v>193</v>
      </c>
      <c r="B8" s="304" t="s">
        <v>615</v>
      </c>
      <c r="C8" s="304" t="s">
        <v>197</v>
      </c>
      <c r="D8" s="5" t="s">
        <v>714</v>
      </c>
      <c r="E8" s="2">
        <v>2022</v>
      </c>
      <c r="F8" s="2" t="s">
        <v>19</v>
      </c>
      <c r="G8" s="2" t="s">
        <v>884</v>
      </c>
      <c r="H8" s="454" t="s">
        <v>1163</v>
      </c>
    </row>
    <row r="9" spans="1:8" ht="12.75">
      <c r="A9" s="304" t="s">
        <v>188</v>
      </c>
      <c r="B9" s="304" t="s">
        <v>112</v>
      </c>
      <c r="C9" s="304" t="s">
        <v>198</v>
      </c>
      <c r="D9" s="5" t="s">
        <v>715</v>
      </c>
      <c r="E9" s="2">
        <v>2023</v>
      </c>
      <c r="G9" s="2" t="s">
        <v>595</v>
      </c>
      <c r="H9" s="454" t="s">
        <v>1164</v>
      </c>
    </row>
    <row r="10" spans="1:8" ht="12.75">
      <c r="A10" s="304" t="s">
        <v>199</v>
      </c>
      <c r="B10" s="304" t="s">
        <v>616</v>
      </c>
      <c r="C10" s="304" t="s">
        <v>200</v>
      </c>
      <c r="D10" s="5" t="s">
        <v>716</v>
      </c>
      <c r="E10" s="2">
        <v>2024</v>
      </c>
      <c r="G10" s="5" t="s">
        <v>15</v>
      </c>
      <c r="H10" s="454" t="s">
        <v>1165</v>
      </c>
    </row>
    <row r="11" spans="1:8" ht="12.75">
      <c r="A11" s="304" t="s">
        <v>186</v>
      </c>
      <c r="B11" s="304" t="s">
        <v>540</v>
      </c>
      <c r="C11" s="304" t="s">
        <v>201</v>
      </c>
      <c r="D11" s="5" t="s">
        <v>717</v>
      </c>
      <c r="E11" s="2">
        <v>2025</v>
      </c>
      <c r="F11" s="148" t="s">
        <v>91</v>
      </c>
      <c r="G11" s="148" t="s">
        <v>71</v>
      </c>
      <c r="H11" s="454" t="s">
        <v>1166</v>
      </c>
    </row>
    <row r="12" spans="1:8" ht="12.75">
      <c r="A12" s="304" t="s">
        <v>199</v>
      </c>
      <c r="B12" s="304" t="s">
        <v>617</v>
      </c>
      <c r="C12" s="304" t="s">
        <v>202</v>
      </c>
      <c r="D12" s="5" t="s">
        <v>43</v>
      </c>
      <c r="E12" s="2">
        <v>2026</v>
      </c>
      <c r="F12" t="s">
        <v>31</v>
      </c>
      <c r="G12" t="s">
        <v>596</v>
      </c>
      <c r="H12" s="454" t="s">
        <v>1167</v>
      </c>
    </row>
    <row r="13" spans="1:8" ht="12.75">
      <c r="A13" s="304" t="s">
        <v>193</v>
      </c>
      <c r="B13" s="304" t="s">
        <v>618</v>
      </c>
      <c r="C13" s="304" t="s">
        <v>203</v>
      </c>
      <c r="D13" s="5" t="s">
        <v>44</v>
      </c>
      <c r="E13" s="2">
        <v>2027</v>
      </c>
      <c r="F13" t="s">
        <v>433</v>
      </c>
      <c r="G13" t="s">
        <v>718</v>
      </c>
      <c r="H13" s="454" t="s">
        <v>1168</v>
      </c>
    </row>
    <row r="14" spans="1:8" ht="12.75">
      <c r="A14" s="304" t="s">
        <v>204</v>
      </c>
      <c r="B14" s="304" t="s">
        <v>619</v>
      </c>
      <c r="C14" s="304" t="s">
        <v>205</v>
      </c>
      <c r="D14" s="5" t="s">
        <v>45</v>
      </c>
      <c r="E14" s="2">
        <v>2028</v>
      </c>
      <c r="F14" t="s">
        <v>434</v>
      </c>
      <c r="H14" s="454" t="s">
        <v>1169</v>
      </c>
    </row>
    <row r="15" spans="1:8" ht="12.75">
      <c r="A15" s="304" t="s">
        <v>193</v>
      </c>
      <c r="B15" s="304" t="s">
        <v>620</v>
      </c>
      <c r="C15" s="304" t="s">
        <v>206</v>
      </c>
      <c r="E15" s="2">
        <v>2029</v>
      </c>
      <c r="F15" t="s">
        <v>435</v>
      </c>
      <c r="H15" s="454" t="s">
        <v>1170</v>
      </c>
    </row>
    <row r="16" spans="1:8" ht="12.75">
      <c r="A16" s="304" t="s">
        <v>193</v>
      </c>
      <c r="B16" s="304" t="s">
        <v>621</v>
      </c>
      <c r="C16" s="304" t="s">
        <v>207</v>
      </c>
      <c r="D16" s="48" t="s">
        <v>74</v>
      </c>
      <c r="E16" s="2">
        <v>2030</v>
      </c>
      <c r="G16" s="168" t="s">
        <v>47</v>
      </c>
      <c r="H16" s="454" t="s">
        <v>1171</v>
      </c>
    </row>
    <row r="17" spans="1:8" ht="12.75">
      <c r="A17" s="304" t="s">
        <v>199</v>
      </c>
      <c r="B17" s="304" t="s">
        <v>113</v>
      </c>
      <c r="C17" s="304" t="s">
        <v>208</v>
      </c>
      <c r="D17" s="2">
        <v>1</v>
      </c>
      <c r="E17" s="2">
        <v>2031</v>
      </c>
      <c r="F17" s="48" t="s">
        <v>87</v>
      </c>
      <c r="G17" s="167" t="s">
        <v>731</v>
      </c>
      <c r="H17" s="454" t="s">
        <v>1172</v>
      </c>
    </row>
    <row r="18" spans="1:8" ht="12.75">
      <c r="A18" s="304" t="s">
        <v>186</v>
      </c>
      <c r="B18" s="304" t="s">
        <v>541</v>
      </c>
      <c r="C18" s="304" t="s">
        <v>209</v>
      </c>
      <c r="D18" s="2">
        <v>2</v>
      </c>
      <c r="E18" s="2">
        <v>2032</v>
      </c>
      <c r="F18" t="s">
        <v>743</v>
      </c>
      <c r="G18" s="167" t="s">
        <v>732</v>
      </c>
      <c r="H18" s="454" t="s">
        <v>1173</v>
      </c>
    </row>
    <row r="19" spans="1:8" ht="12.75">
      <c r="A19" s="304" t="s">
        <v>210</v>
      </c>
      <c r="B19" s="304" t="s">
        <v>114</v>
      </c>
      <c r="C19" s="304" t="s">
        <v>211</v>
      </c>
      <c r="D19" s="2">
        <v>3</v>
      </c>
      <c r="E19" s="2">
        <v>2033</v>
      </c>
      <c r="F19" t="s">
        <v>744</v>
      </c>
      <c r="G19" s="167" t="s">
        <v>48</v>
      </c>
      <c r="H19" s="454" t="s">
        <v>1174</v>
      </c>
    </row>
    <row r="20" spans="1:8" ht="12.75">
      <c r="A20" s="304" t="s">
        <v>199</v>
      </c>
      <c r="B20" s="304" t="s">
        <v>622</v>
      </c>
      <c r="C20" s="304" t="s">
        <v>212</v>
      </c>
      <c r="D20" s="2">
        <v>4</v>
      </c>
      <c r="E20" s="2">
        <v>2034</v>
      </c>
      <c r="F20" t="s">
        <v>436</v>
      </c>
      <c r="H20" s="454" t="s">
        <v>1175</v>
      </c>
    </row>
    <row r="21" spans="1:8" ht="12.75">
      <c r="A21" s="304" t="s">
        <v>193</v>
      </c>
      <c r="B21" s="304" t="s">
        <v>627</v>
      </c>
      <c r="C21" s="304" t="s">
        <v>213</v>
      </c>
      <c r="D21" s="2">
        <v>5</v>
      </c>
      <c r="E21" s="2">
        <v>2035</v>
      </c>
      <c r="H21" s="454" t="s">
        <v>1176</v>
      </c>
    </row>
    <row r="22" spans="1:8" ht="12.75">
      <c r="A22" s="304" t="s">
        <v>193</v>
      </c>
      <c r="B22" s="304" t="s">
        <v>623</v>
      </c>
      <c r="C22" s="304" t="s">
        <v>214</v>
      </c>
      <c r="D22" s="2">
        <v>6</v>
      </c>
      <c r="E22" s="2">
        <v>2036</v>
      </c>
      <c r="G22" s="148" t="s">
        <v>77</v>
      </c>
      <c r="H22" s="454" t="s">
        <v>1177</v>
      </c>
    </row>
    <row r="23" spans="1:8" ht="12.75">
      <c r="A23" s="304" t="s">
        <v>199</v>
      </c>
      <c r="B23" s="304" t="s">
        <v>542</v>
      </c>
      <c r="C23" s="304" t="s">
        <v>215</v>
      </c>
      <c r="D23" s="2">
        <v>7</v>
      </c>
      <c r="E23" s="2">
        <v>2037</v>
      </c>
      <c r="F23" s="48" t="s">
        <v>438</v>
      </c>
      <c r="G23" s="137" t="s">
        <v>747</v>
      </c>
      <c r="H23" s="454" t="s">
        <v>1178</v>
      </c>
    </row>
    <row r="24" spans="1:8" ht="12.75">
      <c r="A24" s="304" t="s">
        <v>188</v>
      </c>
      <c r="B24" s="304" t="s">
        <v>624</v>
      </c>
      <c r="C24" s="304" t="s">
        <v>216</v>
      </c>
      <c r="D24" s="2">
        <v>8</v>
      </c>
      <c r="E24" s="2">
        <v>2038</v>
      </c>
      <c r="F24" t="s">
        <v>743</v>
      </c>
      <c r="G24" t="s">
        <v>78</v>
      </c>
      <c r="H24" s="454" t="s">
        <v>1179</v>
      </c>
    </row>
    <row r="25" spans="1:8" ht="12.75">
      <c r="A25" s="304" t="s">
        <v>210</v>
      </c>
      <c r="B25" s="304" t="s">
        <v>625</v>
      </c>
      <c r="C25" s="304" t="s">
        <v>217</v>
      </c>
      <c r="D25" s="2">
        <v>9</v>
      </c>
      <c r="E25" s="2">
        <v>2039</v>
      </c>
      <c r="F25" t="s">
        <v>744</v>
      </c>
      <c r="H25" s="454" t="s">
        <v>1180</v>
      </c>
    </row>
    <row r="26" spans="1:8" ht="12.75">
      <c r="A26" s="304" t="s">
        <v>199</v>
      </c>
      <c r="B26" s="304" t="s">
        <v>543</v>
      </c>
      <c r="C26" s="304" t="s">
        <v>218</v>
      </c>
      <c r="D26" s="2">
        <v>10</v>
      </c>
      <c r="E26" s="2">
        <v>2040</v>
      </c>
      <c r="F26" s="139" t="s">
        <v>8</v>
      </c>
      <c r="G26" s="48" t="s">
        <v>97</v>
      </c>
      <c r="H26" s="454" t="s">
        <v>1181</v>
      </c>
    </row>
    <row r="27" spans="1:8" ht="12.75">
      <c r="A27" s="304" t="s">
        <v>193</v>
      </c>
      <c r="B27" s="304" t="s">
        <v>626</v>
      </c>
      <c r="C27" s="304" t="s">
        <v>219</v>
      </c>
      <c r="D27" s="2">
        <v>11</v>
      </c>
      <c r="E27" s="2"/>
      <c r="G27" t="s">
        <v>98</v>
      </c>
      <c r="H27" s="454" t="s">
        <v>217</v>
      </c>
    </row>
    <row r="28" spans="1:8" ht="12.75">
      <c r="A28" s="304" t="s">
        <v>188</v>
      </c>
      <c r="B28" s="304" t="s">
        <v>115</v>
      </c>
      <c r="C28" s="304" t="s">
        <v>220</v>
      </c>
      <c r="D28" s="2">
        <v>12</v>
      </c>
      <c r="E28" s="306"/>
      <c r="F28" s="3" t="s">
        <v>110</v>
      </c>
      <c r="G28" t="s">
        <v>99</v>
      </c>
      <c r="H28" s="454" t="s">
        <v>1182</v>
      </c>
    </row>
    <row r="29" spans="1:8" ht="12.75">
      <c r="A29" s="304" t="s">
        <v>199</v>
      </c>
      <c r="B29" s="304" t="s">
        <v>628</v>
      </c>
      <c r="C29" s="304" t="s">
        <v>221</v>
      </c>
      <c r="D29" s="2">
        <v>13</v>
      </c>
      <c r="E29" s="306"/>
      <c r="F29" t="s">
        <v>743</v>
      </c>
      <c r="H29" s="454" t="s">
        <v>1183</v>
      </c>
    </row>
    <row r="30" spans="1:8" ht="12.75">
      <c r="A30" s="304" t="s">
        <v>204</v>
      </c>
      <c r="B30" s="304" t="s">
        <v>544</v>
      </c>
      <c r="C30" s="304" t="s">
        <v>222</v>
      </c>
      <c r="D30" s="2">
        <v>14</v>
      </c>
      <c r="E30" s="48" t="s">
        <v>75</v>
      </c>
      <c r="F30" t="s">
        <v>744</v>
      </c>
      <c r="G30" s="48" t="s">
        <v>862</v>
      </c>
      <c r="H30" s="454" t="s">
        <v>1184</v>
      </c>
    </row>
    <row r="31" spans="1:8" ht="15">
      <c r="A31" s="304" t="s">
        <v>193</v>
      </c>
      <c r="B31" s="304" t="s">
        <v>629</v>
      </c>
      <c r="C31" s="304" t="s">
        <v>223</v>
      </c>
      <c r="D31" s="2">
        <v>15</v>
      </c>
      <c r="E31" s="306">
        <v>2014</v>
      </c>
      <c r="F31" s="2"/>
      <c r="G31" s="377" t="s">
        <v>863</v>
      </c>
      <c r="H31" s="454" t="s">
        <v>1185</v>
      </c>
    </row>
    <row r="32" spans="1:8" ht="12.75">
      <c r="A32" s="304" t="s">
        <v>188</v>
      </c>
      <c r="B32" s="304" t="s">
        <v>116</v>
      </c>
      <c r="C32" s="304" t="s">
        <v>224</v>
      </c>
      <c r="D32" s="2">
        <v>16</v>
      </c>
      <c r="E32" s="306">
        <v>2015</v>
      </c>
      <c r="F32" s="3" t="s">
        <v>137</v>
      </c>
      <c r="G32" s="139" t="s">
        <v>864</v>
      </c>
      <c r="H32" s="454" t="s">
        <v>1186</v>
      </c>
    </row>
    <row r="33" spans="1:8" ht="12.75">
      <c r="A33" s="304" t="s">
        <v>188</v>
      </c>
      <c r="B33" s="304" t="s">
        <v>117</v>
      </c>
      <c r="C33" s="304" t="s">
        <v>225</v>
      </c>
      <c r="D33" s="2">
        <v>17</v>
      </c>
      <c r="E33" s="306">
        <v>2016</v>
      </c>
      <c r="F33" t="s">
        <v>743</v>
      </c>
      <c r="G33" s="139" t="s">
        <v>865</v>
      </c>
      <c r="H33" s="454" t="s">
        <v>1187</v>
      </c>
    </row>
    <row r="34" spans="1:8" ht="12.75">
      <c r="A34" s="304" t="s">
        <v>204</v>
      </c>
      <c r="B34" s="304" t="s">
        <v>631</v>
      </c>
      <c r="C34" s="304" t="s">
        <v>226</v>
      </c>
      <c r="D34" s="2">
        <v>18</v>
      </c>
      <c r="E34" s="306"/>
      <c r="F34" t="s">
        <v>744</v>
      </c>
      <c r="H34" s="454" t="s">
        <v>1188</v>
      </c>
    </row>
    <row r="35" spans="1:8" ht="12.75">
      <c r="A35" s="304" t="s">
        <v>188</v>
      </c>
      <c r="B35" s="304" t="s">
        <v>630</v>
      </c>
      <c r="C35" s="304" t="s">
        <v>227</v>
      </c>
      <c r="D35" s="2">
        <v>19</v>
      </c>
      <c r="E35" s="171" t="s">
        <v>76</v>
      </c>
      <c r="F35" s="139" t="s">
        <v>7</v>
      </c>
      <c r="H35" s="454" t="s">
        <v>1189</v>
      </c>
    </row>
    <row r="36" spans="1:8" ht="12.75">
      <c r="A36" s="304" t="s">
        <v>199</v>
      </c>
      <c r="B36" s="304" t="s">
        <v>118</v>
      </c>
      <c r="C36" s="304" t="s">
        <v>228</v>
      </c>
      <c r="D36" s="2">
        <v>20</v>
      </c>
      <c r="E36" s="306">
        <v>2017</v>
      </c>
      <c r="F36" s="2" t="s">
        <v>48</v>
      </c>
      <c r="G36" s="48" t="s">
        <v>870</v>
      </c>
      <c r="H36" s="454" t="s">
        <v>1190</v>
      </c>
    </row>
    <row r="37" spans="1:8" ht="12.75">
      <c r="A37" s="304" t="s">
        <v>188</v>
      </c>
      <c r="B37" s="335" t="s">
        <v>800</v>
      </c>
      <c r="C37" s="304" t="s">
        <v>229</v>
      </c>
      <c r="D37" s="2">
        <v>21</v>
      </c>
      <c r="E37" s="306">
        <v>2018</v>
      </c>
      <c r="G37" t="s">
        <v>871</v>
      </c>
      <c r="H37" s="454" t="s">
        <v>1191</v>
      </c>
    </row>
    <row r="38" spans="1:8" ht="12.75">
      <c r="A38" s="304" t="s">
        <v>199</v>
      </c>
      <c r="B38" s="304" t="s">
        <v>633</v>
      </c>
      <c r="C38" s="304" t="s">
        <v>230</v>
      </c>
      <c r="D38" s="2">
        <v>22</v>
      </c>
      <c r="E38" s="306"/>
      <c r="F38" s="48" t="s">
        <v>173</v>
      </c>
      <c r="G38" t="s">
        <v>872</v>
      </c>
      <c r="H38" s="454" t="s">
        <v>1192</v>
      </c>
    </row>
    <row r="39" spans="1:8" ht="12.75">
      <c r="A39" s="304" t="s">
        <v>204</v>
      </c>
      <c r="B39" s="304" t="s">
        <v>634</v>
      </c>
      <c r="C39" s="304" t="s">
        <v>231</v>
      </c>
      <c r="D39" s="2">
        <v>23</v>
      </c>
      <c r="E39" s="48" t="s">
        <v>32</v>
      </c>
      <c r="F39" s="139" t="s">
        <v>174</v>
      </c>
      <c r="H39" s="454" t="s">
        <v>1193</v>
      </c>
    </row>
    <row r="40" spans="1:8" ht="12.75">
      <c r="A40" s="304" t="s">
        <v>193</v>
      </c>
      <c r="B40" s="304" t="s">
        <v>639</v>
      </c>
      <c r="C40" s="304" t="s">
        <v>232</v>
      </c>
      <c r="D40" s="2">
        <v>24</v>
      </c>
      <c r="E40" s="306">
        <v>2017</v>
      </c>
      <c r="F40" s="139" t="s">
        <v>175</v>
      </c>
      <c r="H40" s="454" t="s">
        <v>1194</v>
      </c>
    </row>
    <row r="41" spans="1:8" ht="12.75">
      <c r="A41" s="304" t="s">
        <v>186</v>
      </c>
      <c r="B41" s="304" t="s">
        <v>233</v>
      </c>
      <c r="C41" s="304" t="s">
        <v>234</v>
      </c>
      <c r="D41" s="2">
        <v>25</v>
      </c>
      <c r="E41" s="306">
        <v>2018</v>
      </c>
      <c r="F41" s="139" t="s">
        <v>599</v>
      </c>
      <c r="G41" s="480" t="s">
        <v>1031</v>
      </c>
      <c r="H41" s="454" t="s">
        <v>1195</v>
      </c>
    </row>
    <row r="42" spans="1:8" ht="15">
      <c r="A42" s="304" t="s">
        <v>199</v>
      </c>
      <c r="B42" s="304" t="s">
        <v>636</v>
      </c>
      <c r="C42" s="304" t="s">
        <v>235</v>
      </c>
      <c r="D42" s="2">
        <v>26</v>
      </c>
      <c r="E42" s="306">
        <v>2019</v>
      </c>
      <c r="G42" s="481" t="s">
        <v>743</v>
      </c>
      <c r="H42" s="454" t="s">
        <v>1196</v>
      </c>
    </row>
    <row r="43" spans="1:8" ht="12.75">
      <c r="A43" s="304" t="s">
        <v>188</v>
      </c>
      <c r="B43" s="304" t="s">
        <v>637</v>
      </c>
      <c r="C43" s="304" t="s">
        <v>236</v>
      </c>
      <c r="D43" s="2">
        <v>27</v>
      </c>
      <c r="E43" s="306">
        <v>2020</v>
      </c>
      <c r="F43" s="357" t="s">
        <v>829</v>
      </c>
      <c r="G43" s="482" t="s">
        <v>744</v>
      </c>
      <c r="H43" s="454" t="s">
        <v>1197</v>
      </c>
    </row>
    <row r="44" spans="1:8" ht="12.75">
      <c r="A44" s="304" t="s">
        <v>188</v>
      </c>
      <c r="B44" s="304" t="s">
        <v>119</v>
      </c>
      <c r="C44" s="304" t="s">
        <v>237</v>
      </c>
      <c r="D44" s="2">
        <v>28</v>
      </c>
      <c r="E44" s="306"/>
      <c r="F44" t="s">
        <v>743</v>
      </c>
      <c r="G44" s="482" t="s">
        <v>1032</v>
      </c>
      <c r="H44" s="454" t="s">
        <v>1198</v>
      </c>
    </row>
    <row r="45" spans="1:8" ht="12.75">
      <c r="A45" s="304" t="s">
        <v>210</v>
      </c>
      <c r="B45" s="304" t="s">
        <v>572</v>
      </c>
      <c r="C45" s="304" t="s">
        <v>238</v>
      </c>
      <c r="D45" s="2">
        <v>29</v>
      </c>
      <c r="E45" s="306"/>
      <c r="F45" t="s">
        <v>744</v>
      </c>
      <c r="G45" s="482" t="s">
        <v>1501</v>
      </c>
      <c r="H45" s="454" t="s">
        <v>1199</v>
      </c>
    </row>
    <row r="46" spans="1:8" ht="12.75">
      <c r="A46" s="304" t="s">
        <v>204</v>
      </c>
      <c r="B46" s="305" t="s">
        <v>563</v>
      </c>
      <c r="C46" s="304" t="s">
        <v>239</v>
      </c>
      <c r="D46" s="2">
        <v>30</v>
      </c>
      <c r="E46" s="306"/>
      <c r="F46" s="139" t="s">
        <v>48</v>
      </c>
      <c r="H46" s="454" t="s">
        <v>1200</v>
      </c>
    </row>
    <row r="47" spans="1:8" ht="12.75">
      <c r="A47" s="304" t="s">
        <v>199</v>
      </c>
      <c r="B47" s="304" t="s">
        <v>120</v>
      </c>
      <c r="C47" s="304" t="s">
        <v>240</v>
      </c>
      <c r="D47" s="2">
        <v>31</v>
      </c>
      <c r="E47" s="306"/>
      <c r="F47" s="2"/>
      <c r="H47" s="454" t="s">
        <v>1201</v>
      </c>
    </row>
    <row r="48" spans="1:8" ht="12.75">
      <c r="A48" s="304" t="s">
        <v>188</v>
      </c>
      <c r="B48" s="304" t="s">
        <v>121</v>
      </c>
      <c r="C48" s="304" t="s">
        <v>241</v>
      </c>
      <c r="E48" s="306"/>
      <c r="G48" s="457" t="s">
        <v>1079</v>
      </c>
      <c r="H48" s="454" t="s">
        <v>1163</v>
      </c>
    </row>
    <row r="49" spans="1:8" ht="12.75">
      <c r="A49" s="304" t="s">
        <v>193</v>
      </c>
      <c r="B49" s="304" t="s">
        <v>638</v>
      </c>
      <c r="C49" s="304" t="s">
        <v>242</v>
      </c>
      <c r="E49" s="455" t="s">
        <v>1039</v>
      </c>
      <c r="F49" s="478" t="s">
        <v>1064</v>
      </c>
      <c r="G49" s="487" t="s">
        <v>1483</v>
      </c>
      <c r="H49" s="454" t="s">
        <v>1202</v>
      </c>
    </row>
    <row r="50" spans="1:8" ht="12.75">
      <c r="A50" s="304" t="s">
        <v>199</v>
      </c>
      <c r="B50" s="304" t="s">
        <v>122</v>
      </c>
      <c r="C50" s="304" t="s">
        <v>243</v>
      </c>
      <c r="E50" s="485" t="s">
        <v>52</v>
      </c>
      <c r="F50" s="477" t="s">
        <v>1065</v>
      </c>
      <c r="G50" s="488" t="s">
        <v>1484</v>
      </c>
      <c r="H50" s="454" t="s">
        <v>1203</v>
      </c>
    </row>
    <row r="51" spans="1:8" ht="12.75">
      <c r="A51" s="304" t="s">
        <v>193</v>
      </c>
      <c r="B51" s="304" t="s">
        <v>641</v>
      </c>
      <c r="C51" s="304" t="s">
        <v>244</v>
      </c>
      <c r="E51" s="485" t="s">
        <v>1049</v>
      </c>
      <c r="F51" s="477" t="s">
        <v>1441</v>
      </c>
      <c r="G51" s="488" t="s">
        <v>1485</v>
      </c>
      <c r="H51" s="454" t="s">
        <v>1204</v>
      </c>
    </row>
    <row r="52" spans="1:8" ht="12.75">
      <c r="A52" s="304" t="s">
        <v>186</v>
      </c>
      <c r="B52" s="304" t="s">
        <v>123</v>
      </c>
      <c r="C52" s="304" t="s">
        <v>245</v>
      </c>
      <c r="E52" s="485" t="s">
        <v>1481</v>
      </c>
      <c r="F52" s="477" t="s">
        <v>1442</v>
      </c>
      <c r="G52" s="488" t="s">
        <v>1486</v>
      </c>
      <c r="H52" s="454" t="s">
        <v>1205</v>
      </c>
    </row>
    <row r="53" spans="1:8" ht="12.75">
      <c r="A53" s="304" t="s">
        <v>199</v>
      </c>
      <c r="B53" s="304" t="s">
        <v>643</v>
      </c>
      <c r="C53" s="304" t="s">
        <v>246</v>
      </c>
      <c r="E53" s="485" t="s">
        <v>441</v>
      </c>
      <c r="F53" s="477" t="s">
        <v>1443</v>
      </c>
      <c r="G53" s="488" t="s">
        <v>1487</v>
      </c>
      <c r="H53" s="454" t="s">
        <v>1206</v>
      </c>
    </row>
    <row r="54" spans="1:8" ht="12.75">
      <c r="A54" s="304" t="s">
        <v>186</v>
      </c>
      <c r="B54" s="304" t="s">
        <v>645</v>
      </c>
      <c r="C54" s="304" t="s">
        <v>247</v>
      </c>
      <c r="E54" s="485" t="s">
        <v>55</v>
      </c>
      <c r="F54" s="477" t="s">
        <v>1444</v>
      </c>
      <c r="G54" s="488" t="s">
        <v>1488</v>
      </c>
      <c r="H54" s="454" t="s">
        <v>1207</v>
      </c>
    </row>
    <row r="55" spans="1:8" ht="12.75">
      <c r="A55" s="304" t="s">
        <v>186</v>
      </c>
      <c r="B55" s="304" t="s">
        <v>545</v>
      </c>
      <c r="C55" s="304" t="s">
        <v>248</v>
      </c>
      <c r="E55" s="485" t="s">
        <v>1042</v>
      </c>
      <c r="F55" s="477" t="s">
        <v>1445</v>
      </c>
      <c r="G55" s="488" t="s">
        <v>1489</v>
      </c>
      <c r="H55" s="454" t="s">
        <v>1208</v>
      </c>
    </row>
    <row r="56" spans="1:8" ht="12.75">
      <c r="A56" s="304" t="s">
        <v>199</v>
      </c>
      <c r="B56" s="304" t="s">
        <v>644</v>
      </c>
      <c r="C56" s="304" t="s">
        <v>249</v>
      </c>
      <c r="E56" s="485" t="s">
        <v>1043</v>
      </c>
      <c r="F56" s="477" t="s">
        <v>1446</v>
      </c>
      <c r="G56" s="488" t="s">
        <v>1490</v>
      </c>
      <c r="H56" s="454" t="s">
        <v>1209</v>
      </c>
    </row>
    <row r="57" spans="1:8" ht="12.75">
      <c r="A57" s="304" t="s">
        <v>188</v>
      </c>
      <c r="B57" s="304" t="s">
        <v>646</v>
      </c>
      <c r="C57" s="304" t="s">
        <v>250</v>
      </c>
      <c r="E57" s="485" t="s">
        <v>1044</v>
      </c>
      <c r="F57" s="477" t="s">
        <v>1447</v>
      </c>
      <c r="H57" s="454" t="s">
        <v>1210</v>
      </c>
    </row>
    <row r="58" spans="1:8" ht="12.75">
      <c r="A58" s="304" t="s">
        <v>193</v>
      </c>
      <c r="B58" s="304" t="s">
        <v>697</v>
      </c>
      <c r="C58" s="304" t="s">
        <v>251</v>
      </c>
      <c r="E58" s="486" t="s">
        <v>1045</v>
      </c>
      <c r="F58" s="477" t="s">
        <v>1448</v>
      </c>
      <c r="G58" s="457" t="s">
        <v>1087</v>
      </c>
      <c r="H58" s="454" t="s">
        <v>1211</v>
      </c>
    </row>
    <row r="59" spans="1:8" ht="12.75">
      <c r="A59" s="304" t="s">
        <v>193</v>
      </c>
      <c r="B59" s="304" t="s">
        <v>647</v>
      </c>
      <c r="C59" s="304" t="s">
        <v>252</v>
      </c>
      <c r="E59" s="485" t="s">
        <v>1046</v>
      </c>
      <c r="F59" s="477" t="s">
        <v>1449</v>
      </c>
      <c r="G59" s="488" t="s">
        <v>1491</v>
      </c>
      <c r="H59" s="454" t="s">
        <v>1212</v>
      </c>
    </row>
    <row r="60" spans="1:8" ht="12.75">
      <c r="A60" s="304"/>
      <c r="B60" s="336" t="s">
        <v>802</v>
      </c>
      <c r="C60" s="305" t="s">
        <v>234</v>
      </c>
      <c r="E60" s="485" t="s">
        <v>1047</v>
      </c>
      <c r="G60" s="488" t="s">
        <v>1492</v>
      </c>
      <c r="H60" s="454" t="s">
        <v>1213</v>
      </c>
    </row>
    <row r="61" spans="1:8" ht="12.75">
      <c r="A61" s="304" t="s">
        <v>188</v>
      </c>
      <c r="B61" s="304" t="s">
        <v>648</v>
      </c>
      <c r="C61" s="304" t="s">
        <v>253</v>
      </c>
      <c r="E61" s="485" t="s">
        <v>1048</v>
      </c>
      <c r="G61" s="488" t="s">
        <v>1493</v>
      </c>
      <c r="H61" s="454" t="s">
        <v>1214</v>
      </c>
    </row>
    <row r="62" spans="1:8" ht="12.75">
      <c r="A62" s="304" t="s">
        <v>199</v>
      </c>
      <c r="B62" s="305" t="s">
        <v>546</v>
      </c>
      <c r="C62" s="304" t="s">
        <v>254</v>
      </c>
      <c r="E62" s="485" t="s">
        <v>1041</v>
      </c>
      <c r="F62" s="478" t="s">
        <v>1158</v>
      </c>
      <c r="G62" s="488" t="s">
        <v>1440</v>
      </c>
      <c r="H62" s="454" t="s">
        <v>1215</v>
      </c>
    </row>
    <row r="63" spans="1:8" ht="12.75">
      <c r="A63" s="304" t="s">
        <v>193</v>
      </c>
      <c r="B63" s="304" t="s">
        <v>547</v>
      </c>
      <c r="C63" s="304" t="s">
        <v>255</v>
      </c>
      <c r="E63" s="485" t="s">
        <v>1052</v>
      </c>
      <c r="F63" s="477" t="s">
        <v>1436</v>
      </c>
      <c r="H63" s="454" t="s">
        <v>1216</v>
      </c>
    </row>
    <row r="64" spans="1:8" ht="12.75">
      <c r="A64" s="304" t="s">
        <v>193</v>
      </c>
      <c r="B64" s="304" t="s">
        <v>689</v>
      </c>
      <c r="C64" s="304" t="s">
        <v>256</v>
      </c>
      <c r="E64" s="485" t="s">
        <v>1053</v>
      </c>
      <c r="F64" s="477" t="s">
        <v>1437</v>
      </c>
      <c r="G64" s="478" t="s">
        <v>1099</v>
      </c>
      <c r="H64" s="454" t="s">
        <v>1217</v>
      </c>
    </row>
    <row r="65" spans="1:8" ht="12.75">
      <c r="A65" s="304" t="s">
        <v>204</v>
      </c>
      <c r="B65" s="304" t="s">
        <v>649</v>
      </c>
      <c r="C65" s="304" t="s">
        <v>257</v>
      </c>
      <c r="E65" s="485" t="s">
        <v>1054</v>
      </c>
      <c r="F65" s="477" t="s">
        <v>1438</v>
      </c>
      <c r="G65" s="454" t="s">
        <v>1100</v>
      </c>
      <c r="H65" s="454" t="s">
        <v>1218</v>
      </c>
    </row>
    <row r="66" spans="1:8" ht="12.75">
      <c r="A66" s="304" t="s">
        <v>193</v>
      </c>
      <c r="B66" s="304" t="s">
        <v>650</v>
      </c>
      <c r="C66" s="304" t="s">
        <v>258</v>
      </c>
      <c r="E66" s="485" t="s">
        <v>1055</v>
      </c>
      <c r="F66" s="477" t="s">
        <v>1439</v>
      </c>
      <c r="G66" s="454" t="s">
        <v>1101</v>
      </c>
      <c r="H66" s="454" t="s">
        <v>1219</v>
      </c>
    </row>
    <row r="67" spans="1:8" ht="12.75">
      <c r="A67" s="304" t="s">
        <v>193</v>
      </c>
      <c r="B67" s="304" t="s">
        <v>124</v>
      </c>
      <c r="C67" s="304" t="s">
        <v>259</v>
      </c>
      <c r="E67" s="485" t="s">
        <v>772</v>
      </c>
      <c r="F67" s="477" t="s">
        <v>1440</v>
      </c>
      <c r="G67" s="454" t="s">
        <v>1102</v>
      </c>
      <c r="H67" s="454" t="s">
        <v>1220</v>
      </c>
    </row>
    <row r="68" spans="1:8" ht="12.75">
      <c r="A68" s="304" t="s">
        <v>188</v>
      </c>
      <c r="B68" s="304" t="s">
        <v>125</v>
      </c>
      <c r="C68" s="304" t="s">
        <v>260</v>
      </c>
      <c r="E68" s="485" t="s">
        <v>771</v>
      </c>
      <c r="G68" s="454" t="s">
        <v>1103</v>
      </c>
      <c r="H68" s="454" t="s">
        <v>1221</v>
      </c>
    </row>
    <row r="69" spans="1:8" ht="12.75">
      <c r="A69" s="304" t="s">
        <v>188</v>
      </c>
      <c r="B69" s="304" t="s">
        <v>651</v>
      </c>
      <c r="C69" s="304" t="s">
        <v>261</v>
      </c>
      <c r="E69" s="485" t="s">
        <v>1061</v>
      </c>
      <c r="F69" s="479" t="s">
        <v>1159</v>
      </c>
      <c r="G69" s="454" t="s">
        <v>1104</v>
      </c>
      <c r="H69" s="454" t="s">
        <v>1222</v>
      </c>
    </row>
    <row r="70" spans="1:8" ht="12.75">
      <c r="A70" s="304" t="s">
        <v>193</v>
      </c>
      <c r="B70" s="304" t="s">
        <v>652</v>
      </c>
      <c r="C70" s="304" t="s">
        <v>262</v>
      </c>
      <c r="E70" s="485" t="s">
        <v>1060</v>
      </c>
      <c r="F70" s="477" t="s">
        <v>1465</v>
      </c>
      <c r="G70" s="454" t="s">
        <v>1105</v>
      </c>
      <c r="H70" s="454" t="s">
        <v>1223</v>
      </c>
    </row>
    <row r="71" spans="1:8" ht="12.75">
      <c r="A71" s="304" t="s">
        <v>188</v>
      </c>
      <c r="B71" s="304" t="s">
        <v>126</v>
      </c>
      <c r="C71" s="304" t="s">
        <v>263</v>
      </c>
      <c r="E71" s="485" t="s">
        <v>1059</v>
      </c>
      <c r="F71" s="477" t="s">
        <v>1466</v>
      </c>
      <c r="G71" s="454" t="s">
        <v>1106</v>
      </c>
      <c r="H71" s="454" t="s">
        <v>1224</v>
      </c>
    </row>
    <row r="72" spans="1:8" ht="12.75">
      <c r="A72" s="304" t="s">
        <v>193</v>
      </c>
      <c r="B72" s="304" t="s">
        <v>654</v>
      </c>
      <c r="C72" s="304" t="s">
        <v>264</v>
      </c>
      <c r="E72" s="485" t="s">
        <v>765</v>
      </c>
      <c r="F72" s="477" t="s">
        <v>1467</v>
      </c>
      <c r="G72" s="454" t="s">
        <v>1107</v>
      </c>
      <c r="H72" s="454" t="s">
        <v>1225</v>
      </c>
    </row>
    <row r="73" spans="1:8" ht="12.75">
      <c r="A73" s="304" t="s">
        <v>199</v>
      </c>
      <c r="B73" s="304" t="s">
        <v>653</v>
      </c>
      <c r="C73" s="304" t="s">
        <v>265</v>
      </c>
      <c r="E73" s="485" t="s">
        <v>766</v>
      </c>
      <c r="F73" s="477" t="s">
        <v>1468</v>
      </c>
      <c r="G73" s="454" t="s">
        <v>1108</v>
      </c>
      <c r="H73" s="454" t="s">
        <v>1226</v>
      </c>
    </row>
    <row r="74" spans="1:8" ht="12.75">
      <c r="A74" s="304" t="s">
        <v>199</v>
      </c>
      <c r="B74" s="304" t="s">
        <v>127</v>
      </c>
      <c r="C74" s="304" t="s">
        <v>266</v>
      </c>
      <c r="E74" s="485" t="s">
        <v>899</v>
      </c>
      <c r="F74" s="477" t="s">
        <v>1469</v>
      </c>
      <c r="G74" s="454" t="s">
        <v>1109</v>
      </c>
      <c r="H74" s="454" t="s">
        <v>1227</v>
      </c>
    </row>
    <row r="75" spans="1:8" ht="12.75">
      <c r="A75" s="304" t="s">
        <v>188</v>
      </c>
      <c r="B75" s="304" t="s">
        <v>656</v>
      </c>
      <c r="C75" s="304" t="s">
        <v>267</v>
      </c>
      <c r="E75" s="485" t="s">
        <v>900</v>
      </c>
      <c r="F75" s="477" t="s">
        <v>1470</v>
      </c>
      <c r="G75" s="454" t="s">
        <v>1110</v>
      </c>
      <c r="H75" s="454" t="s">
        <v>1228</v>
      </c>
    </row>
    <row r="76" spans="1:8" ht="12.75">
      <c r="A76" s="304" t="s">
        <v>188</v>
      </c>
      <c r="B76" s="304" t="s">
        <v>548</v>
      </c>
      <c r="C76" s="304" t="s">
        <v>268</v>
      </c>
      <c r="E76" s="485" t="s">
        <v>761</v>
      </c>
      <c r="F76" s="477" t="s">
        <v>1471</v>
      </c>
      <c r="G76" s="454" t="s">
        <v>1111</v>
      </c>
      <c r="H76" s="454" t="s">
        <v>1229</v>
      </c>
    </row>
    <row r="77" spans="1:8" ht="12.75">
      <c r="A77" s="304" t="s">
        <v>188</v>
      </c>
      <c r="B77" s="304" t="s">
        <v>655</v>
      </c>
      <c r="C77" s="304" t="s">
        <v>269</v>
      </c>
      <c r="E77" s="485" t="s">
        <v>762</v>
      </c>
      <c r="F77" s="477" t="s">
        <v>1472</v>
      </c>
      <c r="G77" s="454" t="s">
        <v>1112</v>
      </c>
      <c r="H77" s="454" t="s">
        <v>1230</v>
      </c>
    </row>
    <row r="78" spans="1:8" ht="12.75">
      <c r="A78" s="304" t="s">
        <v>199</v>
      </c>
      <c r="B78" s="304" t="s">
        <v>131</v>
      </c>
      <c r="C78" s="304" t="s">
        <v>270</v>
      </c>
      <c r="E78" s="485" t="s">
        <v>53</v>
      </c>
      <c r="F78" s="139" t="s">
        <v>1440</v>
      </c>
      <c r="G78" s="454" t="s">
        <v>1113</v>
      </c>
      <c r="H78" s="454" t="s">
        <v>1231</v>
      </c>
    </row>
    <row r="79" spans="1:8" ht="12.75">
      <c r="A79" s="304" t="s">
        <v>199</v>
      </c>
      <c r="B79" s="304" t="s">
        <v>657</v>
      </c>
      <c r="C79" s="304" t="s">
        <v>271</v>
      </c>
      <c r="E79" s="485" t="s">
        <v>396</v>
      </c>
      <c r="G79" s="454" t="s">
        <v>1114</v>
      </c>
      <c r="H79" s="454" t="s">
        <v>1232</v>
      </c>
    </row>
    <row r="80" spans="1:8" ht="12.75">
      <c r="A80" s="304" t="s">
        <v>199</v>
      </c>
      <c r="B80" s="304" t="s">
        <v>132</v>
      </c>
      <c r="C80" s="304" t="s">
        <v>272</v>
      </c>
      <c r="E80" s="485" t="s">
        <v>58</v>
      </c>
      <c r="F80" s="478" t="s">
        <v>1160</v>
      </c>
      <c r="G80" s="454" t="s">
        <v>1115</v>
      </c>
      <c r="H80" s="454" t="s">
        <v>1233</v>
      </c>
    </row>
    <row r="81" spans="1:8" ht="12.75">
      <c r="A81" s="304" t="s">
        <v>193</v>
      </c>
      <c r="B81" s="304" t="s">
        <v>658</v>
      </c>
      <c r="C81" s="304" t="s">
        <v>273</v>
      </c>
      <c r="E81" s="485" t="s">
        <v>61</v>
      </c>
      <c r="F81" s="485" t="s">
        <v>1494</v>
      </c>
      <c r="G81" s="454" t="s">
        <v>1116</v>
      </c>
      <c r="H81" s="454" t="s">
        <v>1234</v>
      </c>
    </row>
    <row r="82" spans="1:8" ht="12.75">
      <c r="A82" s="304" t="s">
        <v>204</v>
      </c>
      <c r="B82" s="304" t="s">
        <v>635</v>
      </c>
      <c r="C82" s="304" t="s">
        <v>274</v>
      </c>
      <c r="E82" s="485" t="s">
        <v>1036</v>
      </c>
      <c r="F82" s="485" t="s">
        <v>1495</v>
      </c>
      <c r="G82" s="454" t="s">
        <v>1117</v>
      </c>
      <c r="H82" s="454" t="s">
        <v>1235</v>
      </c>
    </row>
    <row r="83" spans="1:8" ht="12.75">
      <c r="A83" s="304" t="s">
        <v>204</v>
      </c>
      <c r="B83" s="304" t="s">
        <v>679</v>
      </c>
      <c r="C83" s="304" t="s">
        <v>275</v>
      </c>
      <c r="E83" s="485" t="s">
        <v>1037</v>
      </c>
      <c r="F83" s="485" t="s">
        <v>1496</v>
      </c>
      <c r="G83" s="454" t="s">
        <v>1118</v>
      </c>
      <c r="H83" s="454" t="s">
        <v>1236</v>
      </c>
    </row>
    <row r="84" spans="1:8" ht="12.75">
      <c r="A84" s="304" t="s">
        <v>204</v>
      </c>
      <c r="B84" s="304" t="s">
        <v>695</v>
      </c>
      <c r="C84" s="304" t="s">
        <v>276</v>
      </c>
      <c r="E84" s="485" t="s">
        <v>1038</v>
      </c>
      <c r="F84" s="485" t="s">
        <v>1497</v>
      </c>
      <c r="G84" s="454" t="s">
        <v>1119</v>
      </c>
      <c r="H84" s="454" t="s">
        <v>1237</v>
      </c>
    </row>
    <row r="85" spans="1:8" ht="12.75">
      <c r="A85" s="304" t="s">
        <v>210</v>
      </c>
      <c r="B85" s="304" t="s">
        <v>660</v>
      </c>
      <c r="C85" s="304" t="s">
        <v>277</v>
      </c>
      <c r="E85" s="485" t="s">
        <v>57</v>
      </c>
      <c r="F85" s="485" t="s">
        <v>1498</v>
      </c>
      <c r="G85" s="454" t="s">
        <v>1120</v>
      </c>
      <c r="H85" s="454" t="s">
        <v>1238</v>
      </c>
    </row>
    <row r="86" spans="1:8" ht="12.75">
      <c r="A86" s="304" t="s">
        <v>210</v>
      </c>
      <c r="B86" s="304" t="s">
        <v>661</v>
      </c>
      <c r="C86" s="304" t="s">
        <v>278</v>
      </c>
      <c r="E86" s="485" t="s">
        <v>1056</v>
      </c>
      <c r="F86" s="485" t="s">
        <v>1499</v>
      </c>
      <c r="G86" s="454" t="s">
        <v>1121</v>
      </c>
      <c r="H86" s="454" t="s">
        <v>1239</v>
      </c>
    </row>
    <row r="87" spans="1:8" ht="12.75">
      <c r="A87" s="304" t="s">
        <v>186</v>
      </c>
      <c r="B87" s="304" t="s">
        <v>549</v>
      </c>
      <c r="C87" s="304" t="s">
        <v>279</v>
      </c>
      <c r="E87" s="485" t="s">
        <v>1057</v>
      </c>
      <c r="F87" s="485" t="s">
        <v>1500</v>
      </c>
      <c r="G87" s="454" t="s">
        <v>1122</v>
      </c>
      <c r="H87" s="454" t="s">
        <v>1240</v>
      </c>
    </row>
    <row r="88" spans="1:8" ht="12.75">
      <c r="A88" s="304" t="s">
        <v>186</v>
      </c>
      <c r="B88" s="304" t="s">
        <v>133</v>
      </c>
      <c r="C88" s="304" t="s">
        <v>280</v>
      </c>
      <c r="E88" s="485" t="s">
        <v>62</v>
      </c>
      <c r="G88" s="454" t="s">
        <v>1123</v>
      </c>
      <c r="H88" s="454" t="s">
        <v>1241</v>
      </c>
    </row>
    <row r="89" spans="1:8" ht="12.75">
      <c r="A89" s="304" t="s">
        <v>193</v>
      </c>
      <c r="B89" s="304" t="s">
        <v>662</v>
      </c>
      <c r="C89" s="304" t="s">
        <v>281</v>
      </c>
      <c r="E89" s="485" t="s">
        <v>1058</v>
      </c>
      <c r="G89" s="454" t="s">
        <v>1124</v>
      </c>
      <c r="H89" s="454" t="s">
        <v>255</v>
      </c>
    </row>
    <row r="90" spans="1:8" ht="12.75">
      <c r="A90" s="304" t="s">
        <v>193</v>
      </c>
      <c r="B90" s="304" t="s">
        <v>659</v>
      </c>
      <c r="C90" s="304" t="s">
        <v>282</v>
      </c>
      <c r="E90" s="485" t="s">
        <v>479</v>
      </c>
      <c r="F90" s="478" t="s">
        <v>1307</v>
      </c>
      <c r="G90" s="454" t="s">
        <v>1125</v>
      </c>
      <c r="H90" s="454" t="s">
        <v>1242</v>
      </c>
    </row>
    <row r="91" spans="1:8" ht="12.75">
      <c r="A91" s="304" t="s">
        <v>193</v>
      </c>
      <c r="B91" s="304" t="s">
        <v>550</v>
      </c>
      <c r="C91" s="304" t="s">
        <v>283</v>
      </c>
      <c r="E91" s="485" t="s">
        <v>481</v>
      </c>
      <c r="F91" s="454" t="s">
        <v>743</v>
      </c>
      <c r="G91" s="454" t="s">
        <v>1126</v>
      </c>
      <c r="H91" s="454" t="s">
        <v>1243</v>
      </c>
    </row>
    <row r="92" spans="1:8" ht="12.75">
      <c r="A92" s="304" t="s">
        <v>193</v>
      </c>
      <c r="B92" s="304" t="s">
        <v>663</v>
      </c>
      <c r="C92" s="304" t="s">
        <v>284</v>
      </c>
      <c r="E92" s="485" t="s">
        <v>909</v>
      </c>
      <c r="F92" s="454" t="s">
        <v>744</v>
      </c>
      <c r="G92" s="454" t="s">
        <v>1127</v>
      </c>
      <c r="H92" s="454" t="s">
        <v>1244</v>
      </c>
    </row>
    <row r="93" spans="1:8" ht="12.75">
      <c r="A93" s="304" t="s">
        <v>186</v>
      </c>
      <c r="B93" s="304" t="s">
        <v>551</v>
      </c>
      <c r="C93" s="304" t="s">
        <v>285</v>
      </c>
      <c r="E93" s="485" t="s">
        <v>46</v>
      </c>
      <c r="F93" s="454" t="s">
        <v>1501</v>
      </c>
      <c r="G93" s="454" t="s">
        <v>1128</v>
      </c>
      <c r="H93" s="454" t="s">
        <v>1245</v>
      </c>
    </row>
    <row r="94" spans="1:8" ht="12.75">
      <c r="A94" s="304" t="s">
        <v>199</v>
      </c>
      <c r="B94" s="304" t="s">
        <v>664</v>
      </c>
      <c r="C94" s="304" t="s">
        <v>286</v>
      </c>
      <c r="E94" s="485" t="s">
        <v>442</v>
      </c>
      <c r="G94" s="454" t="s">
        <v>1129</v>
      </c>
      <c r="H94" s="454" t="s">
        <v>1246</v>
      </c>
    </row>
    <row r="95" spans="1:8" ht="12.75">
      <c r="A95" s="304" t="s">
        <v>204</v>
      </c>
      <c r="B95" s="304" t="s">
        <v>666</v>
      </c>
      <c r="C95" s="304" t="s">
        <v>287</v>
      </c>
      <c r="E95" s="485" t="s">
        <v>480</v>
      </c>
      <c r="F95" s="478" t="s">
        <v>1308</v>
      </c>
      <c r="G95" s="454" t="s">
        <v>1130</v>
      </c>
      <c r="H95" s="454" t="s">
        <v>1247</v>
      </c>
    </row>
    <row r="96" spans="1:8" ht="12.75">
      <c r="A96" s="304" t="s">
        <v>186</v>
      </c>
      <c r="B96" s="304" t="s">
        <v>665</v>
      </c>
      <c r="C96" s="304" t="s">
        <v>288</v>
      </c>
      <c r="E96" s="485" t="s">
        <v>449</v>
      </c>
      <c r="F96" s="477" t="s">
        <v>1450</v>
      </c>
      <c r="G96" s="454" t="s">
        <v>1131</v>
      </c>
      <c r="H96" s="454" t="s">
        <v>1248</v>
      </c>
    </row>
    <row r="97" spans="1:8" ht="12.75">
      <c r="A97" s="304" t="s">
        <v>193</v>
      </c>
      <c r="B97" s="304" t="s">
        <v>134</v>
      </c>
      <c r="C97" s="304" t="s">
        <v>289</v>
      </c>
      <c r="E97" s="485" t="s">
        <v>56</v>
      </c>
      <c r="F97" s="477" t="s">
        <v>1451</v>
      </c>
      <c r="G97" s="454" t="s">
        <v>1132</v>
      </c>
      <c r="H97" s="454" t="s">
        <v>1249</v>
      </c>
    </row>
    <row r="98" spans="1:8" ht="12.75">
      <c r="A98" s="304" t="s">
        <v>188</v>
      </c>
      <c r="B98" s="304" t="s">
        <v>135</v>
      </c>
      <c r="C98" s="304" t="s">
        <v>290</v>
      </c>
      <c r="E98" s="485" t="s">
        <v>567</v>
      </c>
      <c r="F98" s="477" t="s">
        <v>1452</v>
      </c>
      <c r="G98" s="454" t="s">
        <v>1133</v>
      </c>
      <c r="H98" s="454" t="s">
        <v>1250</v>
      </c>
    </row>
    <row r="99" spans="1:8" ht="12.75">
      <c r="A99" s="304" t="s">
        <v>204</v>
      </c>
      <c r="B99" s="304" t="s">
        <v>136</v>
      </c>
      <c r="C99" s="304" t="s">
        <v>291</v>
      </c>
      <c r="E99" s="485" t="s">
        <v>1050</v>
      </c>
      <c r="F99" s="477" t="s">
        <v>1453</v>
      </c>
      <c r="G99" s="454" t="s">
        <v>1134</v>
      </c>
      <c r="H99" s="454" t="s">
        <v>1251</v>
      </c>
    </row>
    <row r="100" spans="1:8" ht="12.75">
      <c r="A100" s="304" t="s">
        <v>186</v>
      </c>
      <c r="B100" s="304" t="s">
        <v>667</v>
      </c>
      <c r="C100" s="304" t="s">
        <v>292</v>
      </c>
      <c r="E100" s="485" t="s">
        <v>1051</v>
      </c>
      <c r="F100" s="477" t="s">
        <v>1454</v>
      </c>
      <c r="G100" s="454" t="s">
        <v>1135</v>
      </c>
      <c r="H100" s="454" t="s">
        <v>1252</v>
      </c>
    </row>
    <row r="101" spans="1:8" ht="12.75">
      <c r="A101" s="304" t="s">
        <v>193</v>
      </c>
      <c r="B101" s="304" t="s">
        <v>552</v>
      </c>
      <c r="C101" s="304" t="s">
        <v>293</v>
      </c>
      <c r="E101" s="485" t="s">
        <v>493</v>
      </c>
      <c r="F101" s="477" t="s">
        <v>1455</v>
      </c>
      <c r="G101" s="454" t="s">
        <v>1136</v>
      </c>
      <c r="H101" s="454" t="s">
        <v>1253</v>
      </c>
    </row>
    <row r="102" spans="1:8" ht="12.75">
      <c r="A102" s="304" t="s">
        <v>204</v>
      </c>
      <c r="B102" s="305" t="s">
        <v>566</v>
      </c>
      <c r="C102" s="304" t="s">
        <v>294</v>
      </c>
      <c r="E102" s="485" t="s">
        <v>494</v>
      </c>
      <c r="F102" s="477" t="s">
        <v>1456</v>
      </c>
      <c r="G102" s="454" t="s">
        <v>1137</v>
      </c>
      <c r="H102" s="454" t="s">
        <v>1254</v>
      </c>
    </row>
    <row r="103" spans="1:8" ht="12.75">
      <c r="A103" s="304" t="s">
        <v>199</v>
      </c>
      <c r="B103" s="304" t="s">
        <v>553</v>
      </c>
      <c r="C103" s="304" t="s">
        <v>295</v>
      </c>
      <c r="E103" s="485" t="s">
        <v>741</v>
      </c>
      <c r="F103" s="477" t="s">
        <v>1457</v>
      </c>
      <c r="G103" s="454" t="s">
        <v>1138</v>
      </c>
      <c r="H103" s="454" t="s">
        <v>1255</v>
      </c>
    </row>
    <row r="104" spans="1:8" ht="12.75">
      <c r="A104" s="304" t="s">
        <v>188</v>
      </c>
      <c r="B104" s="304" t="s">
        <v>554</v>
      </c>
      <c r="C104" s="304" t="s">
        <v>296</v>
      </c>
      <c r="E104" s="485" t="s">
        <v>1479</v>
      </c>
      <c r="F104" s="477" t="s">
        <v>1458</v>
      </c>
      <c r="G104" s="454" t="s">
        <v>1139</v>
      </c>
      <c r="H104" s="454" t="s">
        <v>1256</v>
      </c>
    </row>
    <row r="105" spans="1:8" ht="12.75">
      <c r="A105" s="304" t="s">
        <v>193</v>
      </c>
      <c r="B105" s="304" t="s">
        <v>671</v>
      </c>
      <c r="C105" s="304" t="s">
        <v>297</v>
      </c>
      <c r="E105" s="485" t="s">
        <v>478</v>
      </c>
      <c r="F105" s="477" t="s">
        <v>1459</v>
      </c>
      <c r="G105" s="454" t="s">
        <v>1140</v>
      </c>
      <c r="H105" s="454" t="s">
        <v>1257</v>
      </c>
    </row>
    <row r="106" spans="1:8" ht="12.75">
      <c r="A106" s="304" t="s">
        <v>186</v>
      </c>
      <c r="B106" s="304" t="s">
        <v>668</v>
      </c>
      <c r="C106" s="304" t="s">
        <v>298</v>
      </c>
      <c r="E106" s="485" t="s">
        <v>1040</v>
      </c>
      <c r="F106" s="477" t="s">
        <v>1460</v>
      </c>
      <c r="G106" s="454" t="s">
        <v>1141</v>
      </c>
      <c r="H106" s="454" t="s">
        <v>1258</v>
      </c>
    </row>
    <row r="107" spans="1:8" ht="12.75">
      <c r="A107" s="304" t="s">
        <v>188</v>
      </c>
      <c r="B107" s="304" t="s">
        <v>669</v>
      </c>
      <c r="C107" s="304" t="s">
        <v>299</v>
      </c>
      <c r="E107" s="485" t="s">
        <v>1482</v>
      </c>
      <c r="F107" s="477" t="s">
        <v>1461</v>
      </c>
      <c r="G107" s="454" t="s">
        <v>1142</v>
      </c>
      <c r="H107" s="454" t="s">
        <v>1259</v>
      </c>
    </row>
    <row r="108" spans="1:8" ht="12.75">
      <c r="A108" s="304" t="s">
        <v>193</v>
      </c>
      <c r="B108" s="304" t="s">
        <v>670</v>
      </c>
      <c r="C108" s="304" t="s">
        <v>300</v>
      </c>
      <c r="E108" s="485" t="s">
        <v>1062</v>
      </c>
      <c r="F108" s="477" t="s">
        <v>1462</v>
      </c>
      <c r="G108" s="454" t="s">
        <v>1143</v>
      </c>
      <c r="H108" s="454" t="s">
        <v>1260</v>
      </c>
    </row>
    <row r="109" spans="1:8" ht="12.75">
      <c r="A109" s="304" t="s">
        <v>193</v>
      </c>
      <c r="B109" s="304" t="s">
        <v>138</v>
      </c>
      <c r="C109" s="304" t="s">
        <v>301</v>
      </c>
      <c r="E109" s="485" t="s">
        <v>1063</v>
      </c>
      <c r="F109" s="477" t="s">
        <v>1463</v>
      </c>
      <c r="G109" s="454" t="s">
        <v>1144</v>
      </c>
      <c r="H109" s="454" t="s">
        <v>1261</v>
      </c>
    </row>
    <row r="110" spans="1:8" ht="12.75">
      <c r="A110" s="304" t="s">
        <v>188</v>
      </c>
      <c r="B110" s="304" t="s">
        <v>139</v>
      </c>
      <c r="C110" s="304" t="s">
        <v>302</v>
      </c>
      <c r="F110" s="477" t="s">
        <v>1464</v>
      </c>
      <c r="G110" s="454" t="s">
        <v>1145</v>
      </c>
      <c r="H110" s="454" t="s">
        <v>1262</v>
      </c>
    </row>
    <row r="111" spans="1:8" ht="12.75">
      <c r="A111" s="304" t="s">
        <v>204</v>
      </c>
      <c r="B111" s="304" t="s">
        <v>672</v>
      </c>
      <c r="C111" s="304" t="s">
        <v>303</v>
      </c>
      <c r="E111" s="478" t="s">
        <v>1309</v>
      </c>
      <c r="G111" s="454" t="s">
        <v>1146</v>
      </c>
      <c r="H111" s="454" t="s">
        <v>1263</v>
      </c>
    </row>
    <row r="112" spans="1:8" ht="12.75">
      <c r="A112" s="304" t="s">
        <v>188</v>
      </c>
      <c r="B112" s="304" t="s">
        <v>140</v>
      </c>
      <c r="C112" s="304" t="s">
        <v>304</v>
      </c>
      <c r="E112" s="477" t="s">
        <v>1473</v>
      </c>
      <c r="G112" s="454" t="s">
        <v>1147</v>
      </c>
      <c r="H112" s="454" t="s">
        <v>1264</v>
      </c>
    </row>
    <row r="113" spans="1:8" ht="12.75">
      <c r="A113" s="304" t="s">
        <v>210</v>
      </c>
      <c r="B113" s="304" t="s">
        <v>141</v>
      </c>
      <c r="C113" s="304" t="s">
        <v>305</v>
      </c>
      <c r="E113" s="477" t="s">
        <v>1437</v>
      </c>
      <c r="G113" s="454" t="s">
        <v>1148</v>
      </c>
      <c r="H113" s="454" t="s">
        <v>1265</v>
      </c>
    </row>
    <row r="114" spans="1:8" ht="12.75">
      <c r="A114" s="304" t="s">
        <v>188</v>
      </c>
      <c r="B114" s="304" t="s">
        <v>142</v>
      </c>
      <c r="C114" s="304" t="s">
        <v>306</v>
      </c>
      <c r="E114" s="477" t="s">
        <v>1474</v>
      </c>
      <c r="G114" s="454" t="s">
        <v>1149</v>
      </c>
      <c r="H114" s="454" t="s">
        <v>1266</v>
      </c>
    </row>
    <row r="115" spans="1:8" ht="12.75">
      <c r="A115" s="304" t="s">
        <v>193</v>
      </c>
      <c r="B115" s="304" t="s">
        <v>674</v>
      </c>
      <c r="C115" s="304" t="s">
        <v>307</v>
      </c>
      <c r="E115" s="477" t="s">
        <v>1475</v>
      </c>
      <c r="G115" s="454" t="s">
        <v>1150</v>
      </c>
      <c r="H115" s="454" t="s">
        <v>1267</v>
      </c>
    </row>
    <row r="116" spans="1:8" ht="12.75">
      <c r="A116" s="304" t="s">
        <v>186</v>
      </c>
      <c r="B116" s="304" t="s">
        <v>678</v>
      </c>
      <c r="C116" s="304" t="s">
        <v>308</v>
      </c>
      <c r="E116" s="477" t="s">
        <v>1476</v>
      </c>
      <c r="G116" s="454" t="s">
        <v>1151</v>
      </c>
      <c r="H116" s="454" t="s">
        <v>1268</v>
      </c>
    </row>
    <row r="117" spans="1:8" ht="12.75">
      <c r="A117" s="304" t="s">
        <v>188</v>
      </c>
      <c r="B117" s="304" t="s">
        <v>673</v>
      </c>
      <c r="C117" s="304" t="s">
        <v>309</v>
      </c>
      <c r="E117" s="139" t="s">
        <v>1440</v>
      </c>
      <c r="G117" s="454" t="s">
        <v>1152</v>
      </c>
      <c r="H117" s="454" t="s">
        <v>1269</v>
      </c>
    </row>
    <row r="118" spans="1:8" ht="12.75">
      <c r="A118" s="304" t="s">
        <v>188</v>
      </c>
      <c r="B118" s="304" t="s">
        <v>675</v>
      </c>
      <c r="C118" s="304" t="s">
        <v>310</v>
      </c>
      <c r="G118" s="454" t="s">
        <v>1153</v>
      </c>
      <c r="H118" s="454" t="s">
        <v>1270</v>
      </c>
    </row>
    <row r="119" spans="1:8" ht="12.75">
      <c r="A119" s="304" t="s">
        <v>199</v>
      </c>
      <c r="B119" s="304" t="s">
        <v>555</v>
      </c>
      <c r="C119" s="304" t="s">
        <v>311</v>
      </c>
      <c r="G119" s="454" t="s">
        <v>1154</v>
      </c>
      <c r="H119" s="454" t="s">
        <v>1271</v>
      </c>
    </row>
    <row r="120" spans="1:8" ht="12.75">
      <c r="A120" s="304" t="s">
        <v>204</v>
      </c>
      <c r="B120" s="304" t="s">
        <v>556</v>
      </c>
      <c r="C120" s="304" t="s">
        <v>312</v>
      </c>
      <c r="G120" s="454" t="s">
        <v>1155</v>
      </c>
      <c r="H120" s="454" t="s">
        <v>1272</v>
      </c>
    </row>
    <row r="121" spans="1:8" ht="12.75">
      <c r="A121" s="304" t="s">
        <v>193</v>
      </c>
      <c r="B121" s="304" t="s">
        <v>564</v>
      </c>
      <c r="C121" s="304" t="s">
        <v>313</v>
      </c>
      <c r="G121" s="454" t="s">
        <v>1156</v>
      </c>
      <c r="H121" s="454" t="s">
        <v>1273</v>
      </c>
    </row>
    <row r="122" spans="1:8" ht="12.75">
      <c r="A122" s="304" t="s">
        <v>193</v>
      </c>
      <c r="B122" s="304" t="s">
        <v>143</v>
      </c>
      <c r="C122" s="304" t="s">
        <v>314</v>
      </c>
      <c r="G122" s="454" t="s">
        <v>1157</v>
      </c>
      <c r="H122" s="454" t="s">
        <v>1274</v>
      </c>
    </row>
    <row r="123" spans="1:8" ht="12.75">
      <c r="A123" s="304" t="s">
        <v>204</v>
      </c>
      <c r="B123" s="304" t="s">
        <v>677</v>
      </c>
      <c r="C123" s="304" t="s">
        <v>315</v>
      </c>
      <c r="H123" s="454" t="s">
        <v>1275</v>
      </c>
    </row>
    <row r="124" spans="1:8" ht="12.75">
      <c r="A124" s="304" t="s">
        <v>193</v>
      </c>
      <c r="B124" s="304" t="s">
        <v>676</v>
      </c>
      <c r="C124" s="304" t="s">
        <v>316</v>
      </c>
      <c r="H124" s="454" t="s">
        <v>1276</v>
      </c>
    </row>
    <row r="125" spans="1:8" ht="12.75">
      <c r="A125" s="304" t="s">
        <v>188</v>
      </c>
      <c r="B125" s="304" t="s">
        <v>144</v>
      </c>
      <c r="C125" s="304" t="s">
        <v>317</v>
      </c>
      <c r="H125" s="454" t="s">
        <v>1277</v>
      </c>
    </row>
    <row r="126" spans="1:8" ht="12.75">
      <c r="A126" s="304" t="s">
        <v>210</v>
      </c>
      <c r="B126" s="304" t="s">
        <v>145</v>
      </c>
      <c r="C126" s="304" t="s">
        <v>318</v>
      </c>
      <c r="H126" s="454" t="s">
        <v>1278</v>
      </c>
    </row>
    <row r="127" spans="1:8" ht="12.75">
      <c r="A127" s="304" t="s">
        <v>188</v>
      </c>
      <c r="B127" s="304" t="s">
        <v>680</v>
      </c>
      <c r="C127" s="304" t="s">
        <v>319</v>
      </c>
      <c r="H127" s="454" t="s">
        <v>1279</v>
      </c>
    </row>
    <row r="128" spans="1:8" ht="12.75">
      <c r="A128" s="304" t="s">
        <v>204</v>
      </c>
      <c r="B128" s="304" t="s">
        <v>146</v>
      </c>
      <c r="C128" s="304" t="s">
        <v>320</v>
      </c>
      <c r="H128" s="454" t="s">
        <v>1280</v>
      </c>
    </row>
    <row r="129" spans="1:8" ht="12.75">
      <c r="A129" s="304" t="s">
        <v>210</v>
      </c>
      <c r="B129" s="304" t="s">
        <v>681</v>
      </c>
      <c r="C129" s="304" t="s">
        <v>321</v>
      </c>
      <c r="H129" s="454" t="s">
        <v>1281</v>
      </c>
    </row>
    <row r="130" spans="1:8" ht="12.75">
      <c r="A130" s="304" t="s">
        <v>199</v>
      </c>
      <c r="B130" s="304" t="s">
        <v>147</v>
      </c>
      <c r="C130" s="304" t="s">
        <v>322</v>
      </c>
      <c r="H130" s="454" t="s">
        <v>1282</v>
      </c>
    </row>
    <row r="131" spans="1:8" ht="12.75">
      <c r="A131" s="304" t="s">
        <v>188</v>
      </c>
      <c r="B131" s="304" t="s">
        <v>148</v>
      </c>
      <c r="C131" s="304" t="s">
        <v>323</v>
      </c>
      <c r="H131" s="454" t="s">
        <v>1283</v>
      </c>
    </row>
    <row r="132" spans="1:8" ht="12.75">
      <c r="A132" s="304" t="s">
        <v>188</v>
      </c>
      <c r="B132" s="304" t="s">
        <v>684</v>
      </c>
      <c r="C132" s="304" t="s">
        <v>324</v>
      </c>
      <c r="H132" s="454" t="s">
        <v>1284</v>
      </c>
    </row>
    <row r="133" spans="1:8" ht="12.75">
      <c r="A133" s="304" t="s">
        <v>204</v>
      </c>
      <c r="B133" s="305" t="s">
        <v>557</v>
      </c>
      <c r="C133" s="304" t="s">
        <v>325</v>
      </c>
      <c r="H133" s="454" t="s">
        <v>1285</v>
      </c>
    </row>
    <row r="134" spans="1:8" ht="12.75">
      <c r="A134" s="304" t="s">
        <v>193</v>
      </c>
      <c r="B134" s="304" t="s">
        <v>685</v>
      </c>
      <c r="C134" s="304" t="s">
        <v>326</v>
      </c>
      <c r="H134" s="454" t="s">
        <v>1286</v>
      </c>
    </row>
    <row r="135" spans="1:8" ht="12.75">
      <c r="A135" s="304" t="s">
        <v>204</v>
      </c>
      <c r="B135" s="304" t="s">
        <v>683</v>
      </c>
      <c r="C135" s="304" t="s">
        <v>327</v>
      </c>
      <c r="H135" s="454" t="s">
        <v>1287</v>
      </c>
    </row>
    <row r="136" spans="1:8" ht="12.75">
      <c r="A136" s="304" t="s">
        <v>186</v>
      </c>
      <c r="B136" s="304" t="s">
        <v>149</v>
      </c>
      <c r="C136" s="304" t="s">
        <v>328</v>
      </c>
      <c r="H136" s="454" t="s">
        <v>1288</v>
      </c>
    </row>
    <row r="137" spans="1:8" ht="12.75">
      <c r="A137" s="304" t="s">
        <v>188</v>
      </c>
      <c r="B137" s="304" t="s">
        <v>708</v>
      </c>
      <c r="C137" s="304" t="s">
        <v>329</v>
      </c>
      <c r="H137" s="454" t="s">
        <v>1289</v>
      </c>
    </row>
    <row r="138" spans="1:8" ht="12.75">
      <c r="A138" s="304" t="s">
        <v>193</v>
      </c>
      <c r="B138" s="304" t="s">
        <v>558</v>
      </c>
      <c r="C138" s="304" t="s">
        <v>330</v>
      </c>
      <c r="H138" s="454" t="s">
        <v>1290</v>
      </c>
    </row>
    <row r="139" spans="1:8" ht="12.75">
      <c r="A139" s="304" t="s">
        <v>186</v>
      </c>
      <c r="B139" s="304" t="s">
        <v>150</v>
      </c>
      <c r="C139" s="304" t="s">
        <v>331</v>
      </c>
      <c r="H139" s="454" t="s">
        <v>1291</v>
      </c>
    </row>
    <row r="140" spans="1:8" ht="12.75">
      <c r="A140" s="304" t="s">
        <v>204</v>
      </c>
      <c r="B140" s="305" t="s">
        <v>559</v>
      </c>
      <c r="C140" s="304" t="s">
        <v>332</v>
      </c>
      <c r="H140" s="454" t="s">
        <v>1292</v>
      </c>
    </row>
    <row r="141" spans="1:8" ht="12.75">
      <c r="A141" s="304" t="s">
        <v>199</v>
      </c>
      <c r="B141" s="304" t="s">
        <v>151</v>
      </c>
      <c r="C141" s="304" t="s">
        <v>333</v>
      </c>
      <c r="H141" s="454" t="s">
        <v>1293</v>
      </c>
    </row>
    <row r="142" spans="1:8" ht="12.75">
      <c r="A142" s="304" t="s">
        <v>204</v>
      </c>
      <c r="B142" s="304" t="s">
        <v>560</v>
      </c>
      <c r="C142" s="304" t="s">
        <v>334</v>
      </c>
      <c r="H142" s="454" t="s">
        <v>1162</v>
      </c>
    </row>
    <row r="143" spans="1:8" ht="12.75">
      <c r="A143" s="304" t="s">
        <v>199</v>
      </c>
      <c r="B143" s="304" t="s">
        <v>152</v>
      </c>
      <c r="C143" s="304" t="s">
        <v>335</v>
      </c>
      <c r="H143" s="454" t="s">
        <v>1294</v>
      </c>
    </row>
    <row r="144" spans="1:8" ht="12.75">
      <c r="A144" s="304" t="s">
        <v>193</v>
      </c>
      <c r="B144" s="304" t="s">
        <v>682</v>
      </c>
      <c r="C144" s="304" t="s">
        <v>336</v>
      </c>
      <c r="H144" s="454" t="s">
        <v>1295</v>
      </c>
    </row>
    <row r="145" spans="1:8" ht="12.75">
      <c r="A145" s="304" t="s">
        <v>199</v>
      </c>
      <c r="B145" s="304" t="s">
        <v>686</v>
      </c>
      <c r="C145" s="304" t="s">
        <v>337</v>
      </c>
      <c r="H145" s="454" t="s">
        <v>1296</v>
      </c>
    </row>
    <row r="146" spans="1:8" ht="12.75">
      <c r="A146" s="304" t="s">
        <v>204</v>
      </c>
      <c r="B146" s="304" t="s">
        <v>153</v>
      </c>
      <c r="C146" s="304" t="s">
        <v>338</v>
      </c>
      <c r="H146" s="454" t="s">
        <v>1297</v>
      </c>
    </row>
    <row r="147" spans="1:8" ht="12.75">
      <c r="A147" s="304" t="s">
        <v>193</v>
      </c>
      <c r="B147" s="304" t="s">
        <v>687</v>
      </c>
      <c r="C147" s="304" t="s">
        <v>339</v>
      </c>
      <c r="H147" s="454" t="s">
        <v>1298</v>
      </c>
    </row>
    <row r="148" spans="1:8" ht="12.75">
      <c r="A148" s="304" t="s">
        <v>193</v>
      </c>
      <c r="B148" s="304" t="s">
        <v>154</v>
      </c>
      <c r="C148" s="304" t="s">
        <v>340</v>
      </c>
      <c r="H148" s="454" t="s">
        <v>1299</v>
      </c>
    </row>
    <row r="149" spans="1:8" ht="12.75">
      <c r="A149" s="304" t="s">
        <v>186</v>
      </c>
      <c r="B149" s="304" t="s">
        <v>155</v>
      </c>
      <c r="C149" s="304" t="s">
        <v>341</v>
      </c>
      <c r="H149" s="454" t="s">
        <v>1300</v>
      </c>
    </row>
    <row r="150" spans="1:8" ht="12.75">
      <c r="A150" s="304" t="s">
        <v>186</v>
      </c>
      <c r="B150" s="304" t="s">
        <v>561</v>
      </c>
      <c r="C150" s="304" t="s">
        <v>342</v>
      </c>
      <c r="H150" s="454" t="s">
        <v>1301</v>
      </c>
    </row>
    <row r="151" spans="1:8" ht="12.75">
      <c r="A151" s="304" t="s">
        <v>188</v>
      </c>
      <c r="B151" s="304" t="s">
        <v>562</v>
      </c>
      <c r="C151" s="304" t="s">
        <v>343</v>
      </c>
      <c r="H151" s="454" t="s">
        <v>1302</v>
      </c>
    </row>
    <row r="152" spans="1:8" ht="12.75">
      <c r="A152" s="304" t="s">
        <v>188</v>
      </c>
      <c r="B152" s="304" t="s">
        <v>565</v>
      </c>
      <c r="C152" s="304" t="s">
        <v>344</v>
      </c>
      <c r="H152" s="454" t="s">
        <v>1303</v>
      </c>
    </row>
    <row r="153" spans="1:8" ht="12.75">
      <c r="A153" s="304" t="s">
        <v>199</v>
      </c>
      <c r="B153" s="304" t="s">
        <v>571</v>
      </c>
      <c r="C153" s="304" t="s">
        <v>345</v>
      </c>
      <c r="H153" s="454" t="s">
        <v>1304</v>
      </c>
    </row>
    <row r="154" spans="1:8" ht="12.75">
      <c r="A154" s="304" t="s">
        <v>193</v>
      </c>
      <c r="B154" s="305" t="s">
        <v>577</v>
      </c>
      <c r="C154" s="304" t="s">
        <v>346</v>
      </c>
      <c r="H154" s="454" t="s">
        <v>1305</v>
      </c>
    </row>
    <row r="155" spans="1:8" ht="12.75">
      <c r="A155" s="304" t="s">
        <v>193</v>
      </c>
      <c r="B155" s="304" t="s">
        <v>640</v>
      </c>
      <c r="C155" s="304" t="s">
        <v>347</v>
      </c>
      <c r="H155" s="454" t="s">
        <v>1306</v>
      </c>
    </row>
    <row r="156" spans="1:3" ht="12.75">
      <c r="A156" s="304" t="s">
        <v>193</v>
      </c>
      <c r="B156" s="304" t="s">
        <v>688</v>
      </c>
      <c r="C156" s="304" t="s">
        <v>348</v>
      </c>
    </row>
    <row r="157" spans="1:3" ht="12.75">
      <c r="A157" s="304" t="s">
        <v>193</v>
      </c>
      <c r="B157" s="304" t="s">
        <v>573</v>
      </c>
      <c r="C157" s="304" t="s">
        <v>349</v>
      </c>
    </row>
    <row r="158" spans="1:3" ht="12.75">
      <c r="A158" s="304" t="s">
        <v>188</v>
      </c>
      <c r="B158" s="304" t="s">
        <v>156</v>
      </c>
      <c r="C158" s="304" t="s">
        <v>350</v>
      </c>
    </row>
    <row r="159" spans="1:3" ht="12.75">
      <c r="A159" s="304" t="s">
        <v>199</v>
      </c>
      <c r="B159" s="304" t="s">
        <v>690</v>
      </c>
      <c r="C159" s="304" t="s">
        <v>351</v>
      </c>
    </row>
    <row r="160" spans="1:3" ht="12.75">
      <c r="A160" s="304" t="s">
        <v>199</v>
      </c>
      <c r="B160" s="304" t="s">
        <v>574</v>
      </c>
      <c r="C160" s="304" t="s">
        <v>352</v>
      </c>
    </row>
    <row r="161" spans="1:3" ht="12.75">
      <c r="A161" s="304" t="s">
        <v>193</v>
      </c>
      <c r="B161" s="304" t="s">
        <v>693</v>
      </c>
      <c r="C161" s="304" t="s">
        <v>353</v>
      </c>
    </row>
    <row r="162" spans="1:3" ht="12.75">
      <c r="A162" s="304" t="s">
        <v>199</v>
      </c>
      <c r="B162" s="304" t="s">
        <v>575</v>
      </c>
      <c r="C162" s="304" t="s">
        <v>354</v>
      </c>
    </row>
    <row r="163" spans="1:3" ht="12.75">
      <c r="A163" s="304" t="s">
        <v>204</v>
      </c>
      <c r="B163" s="304" t="s">
        <v>157</v>
      </c>
      <c r="C163" s="304" t="s">
        <v>355</v>
      </c>
    </row>
    <row r="164" spans="1:3" ht="12.75">
      <c r="A164" s="304" t="s">
        <v>188</v>
      </c>
      <c r="B164" s="304" t="s">
        <v>698</v>
      </c>
      <c r="C164" s="304" t="s">
        <v>356</v>
      </c>
    </row>
    <row r="165" spans="1:3" ht="12.75">
      <c r="A165" s="304" t="s">
        <v>188</v>
      </c>
      <c r="B165" s="304" t="s">
        <v>691</v>
      </c>
      <c r="C165" s="304" t="s">
        <v>357</v>
      </c>
    </row>
    <row r="166" spans="1:3" ht="12.75">
      <c r="A166" s="304" t="s">
        <v>193</v>
      </c>
      <c r="B166" s="304" t="s">
        <v>576</v>
      </c>
      <c r="C166" s="304" t="s">
        <v>358</v>
      </c>
    </row>
    <row r="167" spans="1:3" ht="12.75">
      <c r="A167" s="304" t="s">
        <v>188</v>
      </c>
      <c r="B167" s="304" t="s">
        <v>158</v>
      </c>
      <c r="C167" s="304" t="s">
        <v>359</v>
      </c>
    </row>
    <row r="168" spans="1:3" ht="12.75">
      <c r="A168" s="304" t="s">
        <v>188</v>
      </c>
      <c r="B168" s="304" t="s">
        <v>159</v>
      </c>
      <c r="C168" s="304" t="s">
        <v>360</v>
      </c>
    </row>
    <row r="169" spans="1:3" ht="12.75">
      <c r="A169" s="304" t="s">
        <v>204</v>
      </c>
      <c r="B169" s="304" t="s">
        <v>692</v>
      </c>
      <c r="C169" s="304" t="s">
        <v>361</v>
      </c>
    </row>
    <row r="170" spans="1:3" ht="12.75">
      <c r="A170" s="304" t="s">
        <v>193</v>
      </c>
      <c r="B170" s="304" t="s">
        <v>700</v>
      </c>
      <c r="C170" s="304" t="s">
        <v>362</v>
      </c>
    </row>
    <row r="171" spans="1:3" ht="12.75">
      <c r="A171" s="304" t="s">
        <v>186</v>
      </c>
      <c r="B171" s="304" t="s">
        <v>696</v>
      </c>
      <c r="C171" s="304" t="s">
        <v>363</v>
      </c>
    </row>
    <row r="172" spans="1:3" ht="12.75">
      <c r="A172" s="304" t="s">
        <v>186</v>
      </c>
      <c r="B172" s="304" t="s">
        <v>699</v>
      </c>
      <c r="C172" s="304" t="s">
        <v>364</v>
      </c>
    </row>
    <row r="173" spans="1:3" ht="12.75">
      <c r="A173" s="304" t="s">
        <v>210</v>
      </c>
      <c r="B173" s="304" t="s">
        <v>160</v>
      </c>
      <c r="C173" s="304" t="s">
        <v>365</v>
      </c>
    </row>
    <row r="174" spans="1:3" ht="12.75">
      <c r="A174" s="305" t="s">
        <v>186</v>
      </c>
      <c r="B174" s="305" t="s">
        <v>757</v>
      </c>
      <c r="C174" s="305" t="s">
        <v>758</v>
      </c>
    </row>
    <row r="175" spans="1:3" ht="12.75">
      <c r="A175" s="304" t="s">
        <v>193</v>
      </c>
      <c r="B175" s="304" t="s">
        <v>701</v>
      </c>
      <c r="C175" s="304" t="s">
        <v>366</v>
      </c>
    </row>
    <row r="176" spans="1:3" ht="12.75">
      <c r="A176" s="304" t="s">
        <v>193</v>
      </c>
      <c r="B176" s="304" t="s">
        <v>702</v>
      </c>
      <c r="C176" s="304" t="s">
        <v>367</v>
      </c>
    </row>
    <row r="177" spans="1:3" ht="12.75">
      <c r="A177" s="304" t="s">
        <v>199</v>
      </c>
      <c r="B177" s="304" t="s">
        <v>161</v>
      </c>
      <c r="C177" s="304" t="s">
        <v>369</v>
      </c>
    </row>
    <row r="178" spans="1:3" ht="12.75">
      <c r="A178" s="304" t="s">
        <v>188</v>
      </c>
      <c r="B178" s="304" t="s">
        <v>162</v>
      </c>
      <c r="C178" s="304" t="s">
        <v>370</v>
      </c>
    </row>
    <row r="179" spans="1:3" ht="12.75">
      <c r="A179" s="304" t="s">
        <v>193</v>
      </c>
      <c r="B179" s="304" t="s">
        <v>704</v>
      </c>
      <c r="C179" s="304" t="s">
        <v>371</v>
      </c>
    </row>
    <row r="180" spans="1:3" ht="12.75">
      <c r="A180" s="304" t="s">
        <v>188</v>
      </c>
      <c r="B180" s="304" t="s">
        <v>703</v>
      </c>
      <c r="C180" s="304" t="s">
        <v>372</v>
      </c>
    </row>
    <row r="181" spans="1:3" ht="12.75">
      <c r="A181" s="304" t="s">
        <v>188</v>
      </c>
      <c r="B181" s="304" t="s">
        <v>632</v>
      </c>
      <c r="C181" s="304" t="s">
        <v>373</v>
      </c>
    </row>
    <row r="182" spans="1:3" ht="12.75">
      <c r="A182" s="304" t="s">
        <v>210</v>
      </c>
      <c r="B182" s="304" t="s">
        <v>578</v>
      </c>
      <c r="C182" s="304" t="s">
        <v>374</v>
      </c>
    </row>
    <row r="183" spans="1:3" ht="12.75">
      <c r="A183" s="304" t="s">
        <v>210</v>
      </c>
      <c r="B183" s="304" t="s">
        <v>375</v>
      </c>
      <c r="C183" s="304" t="s">
        <v>376</v>
      </c>
    </row>
    <row r="184" spans="1:3" ht="12.75">
      <c r="A184" s="304" t="s">
        <v>188</v>
      </c>
      <c r="B184" s="304" t="s">
        <v>163</v>
      </c>
      <c r="C184" s="304" t="s">
        <v>377</v>
      </c>
    </row>
    <row r="185" spans="1:3" ht="12.75">
      <c r="A185" s="304" t="s">
        <v>204</v>
      </c>
      <c r="B185" s="304" t="s">
        <v>164</v>
      </c>
      <c r="C185" s="304" t="s">
        <v>378</v>
      </c>
    </row>
    <row r="186" spans="1:3" ht="12.75">
      <c r="A186" s="304" t="s">
        <v>199</v>
      </c>
      <c r="B186" s="304" t="s">
        <v>705</v>
      </c>
      <c r="C186" s="304" t="s">
        <v>379</v>
      </c>
    </row>
    <row r="187" spans="1:3" ht="12.75">
      <c r="A187" s="304" t="s">
        <v>186</v>
      </c>
      <c r="B187" s="304" t="s">
        <v>706</v>
      </c>
      <c r="C187" s="304" t="s">
        <v>380</v>
      </c>
    </row>
    <row r="188" spans="1:3" ht="12.75">
      <c r="A188" s="304" t="s">
        <v>193</v>
      </c>
      <c r="B188" s="304" t="s">
        <v>579</v>
      </c>
      <c r="C188" s="304" t="s">
        <v>381</v>
      </c>
    </row>
    <row r="189" spans="1:3" ht="12.75">
      <c r="A189" s="304" t="s">
        <v>193</v>
      </c>
      <c r="B189" s="304" t="s">
        <v>707</v>
      </c>
      <c r="C189" s="304" t="s">
        <v>382</v>
      </c>
    </row>
    <row r="190" spans="1:3" ht="12.75">
      <c r="A190" s="304" t="s">
        <v>204</v>
      </c>
      <c r="B190" s="304" t="s">
        <v>66</v>
      </c>
      <c r="C190" s="304" t="s">
        <v>383</v>
      </c>
    </row>
    <row r="191" spans="1:3" ht="12.75">
      <c r="A191" s="304" t="s">
        <v>193</v>
      </c>
      <c r="B191" s="304" t="s">
        <v>67</v>
      </c>
      <c r="C191" s="304" t="s">
        <v>384</v>
      </c>
    </row>
    <row r="192" spans="1:3" ht="12.75">
      <c r="A192" s="304" t="s">
        <v>199</v>
      </c>
      <c r="B192" s="304" t="s">
        <v>68</v>
      </c>
      <c r="C192" s="304" t="s">
        <v>385</v>
      </c>
    </row>
    <row r="193" spans="1:3" ht="12.75">
      <c r="A193" s="304" t="s">
        <v>204</v>
      </c>
      <c r="B193" s="304" t="s">
        <v>69</v>
      </c>
      <c r="C193" s="304" t="s">
        <v>386</v>
      </c>
    </row>
    <row r="194" spans="1:3" ht="12.75">
      <c r="A194" s="304" t="s">
        <v>199</v>
      </c>
      <c r="B194" s="304" t="s">
        <v>580</v>
      </c>
      <c r="C194" s="304" t="s">
        <v>387</v>
      </c>
    </row>
    <row r="195" spans="1:3" ht="12.75">
      <c r="A195" s="304" t="s">
        <v>204</v>
      </c>
      <c r="B195" s="304" t="s">
        <v>79</v>
      </c>
      <c r="C195" s="304" t="s">
        <v>388</v>
      </c>
    </row>
    <row r="196" spans="1:3" ht="12.75">
      <c r="A196" s="304" t="s">
        <v>186</v>
      </c>
      <c r="B196" s="304" t="s">
        <v>709</v>
      </c>
      <c r="C196" s="304" t="s">
        <v>389</v>
      </c>
    </row>
    <row r="197" spans="1:3" ht="12.75">
      <c r="A197" s="304" t="s">
        <v>188</v>
      </c>
      <c r="B197" s="304" t="s">
        <v>710</v>
      </c>
      <c r="C197" s="304" t="s">
        <v>390</v>
      </c>
    </row>
    <row r="198" spans="1:3" ht="12.75">
      <c r="A198" s="304" t="s">
        <v>188</v>
      </c>
      <c r="B198" s="304" t="s">
        <v>581</v>
      </c>
      <c r="C198" s="304" t="s">
        <v>391</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I23"/>
  <sheetViews>
    <sheetView showGridLines="0" showRowColHeaders="0" zoomScaleSheetLayoutView="100" workbookViewId="0" topLeftCell="A1">
      <selection activeCell="D11" sqref="D11"/>
    </sheetView>
  </sheetViews>
  <sheetFormatPr defaultColWidth="9.140625" defaultRowHeight="12.75"/>
  <cols>
    <col min="1" max="1" width="6.57421875" style="2" customWidth="1"/>
    <col min="2" max="2" width="23.7109375" style="2" customWidth="1"/>
    <col min="3" max="4" width="18.421875" style="2" customWidth="1"/>
    <col min="5" max="5" width="3.7109375" style="2" customWidth="1"/>
    <col min="6" max="6" width="23.57421875" style="2" customWidth="1"/>
    <col min="7" max="7" width="21.140625" style="2" customWidth="1"/>
    <col min="8" max="8" width="9.140625" style="2" customWidth="1"/>
    <col min="9" max="9" width="32.00390625" style="2" customWidth="1"/>
    <col min="10" max="16384" width="9.140625" style="2" customWidth="1"/>
  </cols>
  <sheetData>
    <row r="1" ht="15" customHeight="1"/>
    <row r="2" spans="1:9" ht="22.5" customHeight="1">
      <c r="A2" s="542" t="s">
        <v>400</v>
      </c>
      <c r="B2" s="542"/>
      <c r="C2" s="542"/>
      <c r="D2" s="542"/>
      <c r="E2" s="542"/>
      <c r="F2" s="542"/>
      <c r="G2" s="542"/>
      <c r="H2" s="542"/>
      <c r="I2" s="542"/>
    </row>
    <row r="4" spans="1:9" ht="21" customHeight="1" thickBot="1">
      <c r="A4" s="192" t="s">
        <v>894</v>
      </c>
      <c r="B4" s="193"/>
      <c r="C4" s="193"/>
      <c r="D4" s="193"/>
      <c r="E4" s="193"/>
      <c r="I4" s="175"/>
    </row>
    <row r="5" spans="1:9" s="5" customFormat="1" ht="25.5" customHeight="1" thickBot="1">
      <c r="A5" s="543"/>
      <c r="B5" s="546" t="s">
        <v>440</v>
      </c>
      <c r="C5" s="547"/>
      <c r="D5" s="497" t="s">
        <v>1555</v>
      </c>
      <c r="E5" s="2"/>
      <c r="F5" s="552" t="s">
        <v>612</v>
      </c>
      <c r="G5" s="553"/>
      <c r="I5" s="340" t="s">
        <v>1559</v>
      </c>
    </row>
    <row r="6" spans="1:9" s="5" customFormat="1" ht="75" customHeight="1">
      <c r="A6" s="544"/>
      <c r="B6" s="548"/>
      <c r="C6" s="549"/>
      <c r="D6" s="498" t="s">
        <v>1556</v>
      </c>
      <c r="E6" s="2"/>
      <c r="F6" s="41" t="s">
        <v>1557</v>
      </c>
      <c r="G6" s="260" t="s">
        <v>1558</v>
      </c>
      <c r="I6" s="341" t="s">
        <v>804</v>
      </c>
    </row>
    <row r="7" spans="1:9" s="5" customFormat="1" ht="19.5" customHeight="1">
      <c r="A7" s="544"/>
      <c r="B7" s="550"/>
      <c r="C7" s="551"/>
      <c r="D7" s="51" t="str">
        <f>HYPERLINK(CONCATENATE(Filename,"Ins1010_1100_A"),"(instructions)")</f>
        <v>(instructions)</v>
      </c>
      <c r="E7" s="2"/>
      <c r="F7" s="51" t="str">
        <f>HYPERLINK(CONCATENATE(Filename,"Ins1010_1100_A"),"(instructions)")</f>
        <v>(instructions)</v>
      </c>
      <c r="G7" s="51" t="str">
        <f>HYPERLINK(CONCATENATE(Filename,"Ins1010_1100_B"),"(instructions)")</f>
        <v>(instructions)</v>
      </c>
      <c r="I7" s="32" t="str">
        <f>HYPERLINK(CONCATENATE(Filename,"Ins1010_1100_C"),"(instructions)")</f>
        <v>(instructions)</v>
      </c>
    </row>
    <row r="8" spans="1:9" ht="15" customHeight="1">
      <c r="A8" s="18">
        <v>1010</v>
      </c>
      <c r="B8" s="514" t="s">
        <v>441</v>
      </c>
      <c r="C8" s="545"/>
      <c r="D8" s="111"/>
      <c r="F8" s="111"/>
      <c r="G8" s="339"/>
      <c r="I8" s="113"/>
    </row>
    <row r="9" spans="1:9" ht="15" customHeight="1">
      <c r="A9" s="18">
        <v>1020</v>
      </c>
      <c r="B9" s="514" t="s">
        <v>442</v>
      </c>
      <c r="C9" s="545"/>
      <c r="D9" s="63"/>
      <c r="F9" s="52"/>
      <c r="G9" s="52"/>
      <c r="I9" s="113"/>
    </row>
    <row r="10" spans="1:9" ht="15" customHeight="1">
      <c r="A10" s="18">
        <v>1030</v>
      </c>
      <c r="B10" s="514" t="s">
        <v>443</v>
      </c>
      <c r="C10" s="545"/>
      <c r="D10" s="63"/>
      <c r="F10" s="60"/>
      <c r="G10" s="60"/>
      <c r="I10" s="113"/>
    </row>
    <row r="11" spans="1:9" ht="23.25" customHeight="1">
      <c r="A11" s="18">
        <v>1040</v>
      </c>
      <c r="B11" s="514" t="s">
        <v>444</v>
      </c>
      <c r="C11" s="545"/>
      <c r="D11" s="63"/>
      <c r="F11" s="60"/>
      <c r="G11" s="60"/>
      <c r="I11" s="113"/>
    </row>
    <row r="12" spans="1:9" ht="15" customHeight="1">
      <c r="A12" s="18">
        <v>1050</v>
      </c>
      <c r="B12" s="514" t="s">
        <v>445</v>
      </c>
      <c r="C12" s="545"/>
      <c r="D12" s="63"/>
      <c r="F12" s="52"/>
      <c r="G12" s="52"/>
      <c r="I12" s="113"/>
    </row>
    <row r="13" spans="1:9" ht="15" customHeight="1">
      <c r="A13" s="18">
        <v>1060</v>
      </c>
      <c r="B13" s="77" t="s">
        <v>446</v>
      </c>
      <c r="C13" s="343" t="str">
        <f>HYPERLINK(CONCATENATE(Filename,"Ins1060"),"(instructions)")</f>
        <v>(instructions)</v>
      </c>
      <c r="D13" s="63"/>
      <c r="F13" s="52"/>
      <c r="G13" s="52"/>
      <c r="I13" s="113"/>
    </row>
    <row r="14" spans="1:9" ht="15" customHeight="1">
      <c r="A14" s="18">
        <v>1070</v>
      </c>
      <c r="B14" s="76" t="s">
        <v>447</v>
      </c>
      <c r="C14" s="343" t="str">
        <f>HYPERLINK(CONCATENATE(Filename,"Ins1070"),"(instructions)")</f>
        <v>(instructions)</v>
      </c>
      <c r="D14" s="63"/>
      <c r="F14" s="52"/>
      <c r="G14" s="52"/>
      <c r="I14" s="113"/>
    </row>
    <row r="15" spans="1:9" ht="15" customHeight="1">
      <c r="A15" s="18">
        <v>1080</v>
      </c>
      <c r="B15" s="514" t="s">
        <v>448</v>
      </c>
      <c r="C15" s="545"/>
      <c r="D15" s="63"/>
      <c r="F15" s="52"/>
      <c r="G15" s="52"/>
      <c r="I15" s="113"/>
    </row>
    <row r="16" spans="1:9" ht="15" customHeight="1">
      <c r="A16" s="18">
        <v>1090</v>
      </c>
      <c r="B16" s="514" t="s">
        <v>449</v>
      </c>
      <c r="C16" s="545"/>
      <c r="D16" s="63"/>
      <c r="F16" s="52"/>
      <c r="G16" s="52"/>
      <c r="I16" s="113"/>
    </row>
    <row r="17" spans="1:9" ht="21" customHeight="1" thickBot="1">
      <c r="A17" s="19">
        <v>1100</v>
      </c>
      <c r="B17" s="556" t="s">
        <v>450</v>
      </c>
      <c r="C17" s="557"/>
      <c r="D17" s="262"/>
      <c r="E17" s="506"/>
      <c r="F17" s="47"/>
      <c r="G17" s="47"/>
      <c r="I17" s="195"/>
    </row>
    <row r="18" spans="1:9" s="57" customFormat="1" ht="13.5" customHeight="1">
      <c r="A18" s="499">
        <v>1101</v>
      </c>
      <c r="B18" s="554" t="s">
        <v>1560</v>
      </c>
      <c r="C18" s="555"/>
      <c r="D18" s="500"/>
      <c r="E18" s="507"/>
      <c r="F18" s="501"/>
      <c r="G18" s="501"/>
      <c r="I18" s="502"/>
    </row>
    <row r="19" spans="1:9" s="57" customFormat="1" ht="13.5" customHeight="1">
      <c r="A19" s="499">
        <v>1102</v>
      </c>
      <c r="B19" s="554" t="s">
        <v>53</v>
      </c>
      <c r="C19" s="555"/>
      <c r="D19" s="503"/>
      <c r="F19" s="504"/>
      <c r="G19" s="504"/>
      <c r="I19" s="502"/>
    </row>
    <row r="20" spans="1:9" s="57" customFormat="1" ht="13.5" customHeight="1" thickBot="1">
      <c r="A20" s="499">
        <v>1103</v>
      </c>
      <c r="B20" s="554" t="s">
        <v>1561</v>
      </c>
      <c r="C20" s="555"/>
      <c r="D20" s="503"/>
      <c r="F20" s="504"/>
      <c r="G20" s="504"/>
      <c r="I20" s="505"/>
    </row>
    <row r="21" spans="1:6" ht="9.75" customHeight="1">
      <c r="A21" s="81"/>
      <c r="B21" s="79"/>
      <c r="C21" s="80"/>
      <c r="D21" s="80"/>
      <c r="E21" s="80"/>
      <c r="F21" s="161"/>
    </row>
    <row r="23" ht="12.75">
      <c r="G23" s="230" t="str">
        <f>HYPERLINK(Filename&amp;"page2","page suivante")</f>
        <v>page suivante</v>
      </c>
    </row>
  </sheetData>
  <sheetProtection password="F319" sheet="1" selectLockedCells="1"/>
  <mergeCells count="15">
    <mergeCell ref="B15:C15"/>
    <mergeCell ref="B16:C16"/>
    <mergeCell ref="B18:C18"/>
    <mergeCell ref="B19:C19"/>
    <mergeCell ref="B20:C20"/>
    <mergeCell ref="B17:C17"/>
    <mergeCell ref="A2:I2"/>
    <mergeCell ref="A5:A7"/>
    <mergeCell ref="B11:C11"/>
    <mergeCell ref="B12:C12"/>
    <mergeCell ref="B5:C7"/>
    <mergeCell ref="F5:G5"/>
    <mergeCell ref="B8:C8"/>
    <mergeCell ref="B10:C10"/>
    <mergeCell ref="B9:C9"/>
  </mergeCells>
  <dataValidations count="5">
    <dataValidation errorStyle="warning" type="whole" operator="greaterThan" allowBlank="1" showInputMessage="1" showErrorMessage="1" errorTitle="Vérifier le nombre" error="le nombre de cas positifs devrait être inférieur ou égal au nombre de cas testés. Si supérieur, merci d'expliquer dans la feuille 9_Commentaires_généraux" sqref="G10:G11">
      <formula1>F6</formula1>
    </dataValidation>
    <dataValidation errorStyle="warning" type="whole" operator="lessThan" allowBlank="1" showInputMessage="1" showErrorMessage="1" errorTitle="Vérifier le nombre" error="le nombre de cas positifs devrait être inférieur ou égal au nombre de cas testés. Si supérieur, merci d'expliquer dans la feuille 9_Commentaires_généraux" sqref="G8:G9 G12:G17">
      <formula1>F8</formula1>
    </dataValidation>
    <dataValidation errorStyle="warning" type="whole" operator="greaterThan" allowBlank="1" showInputMessage="1" showErrorMessage="1" errorTitle="Vérifier le nombre" error="le nombre de cas confirmés doit être supérieur ou égal au nombre de cas positifs confirmés en laboratoire. Dans le cas contraire, merci d'expliquer dans la feuille 9.commentaires_généraux" sqref="I8:I9 I12 I14:I17">
      <formula1>G8</formula1>
    </dataValidation>
    <dataValidation errorStyle="warning" type="whole" operator="equal" allowBlank="1" showInputMessage="1" showErrorMessage="1" errorTitle="Vérifier le nombre" error="le nombre de cas confirmés doit égal au nombre de cas positifs confirmés en laboratoire. Dans le cas contraire, merci d'expliquer dans la feuille 9.commentaires_généraux" sqref="I13">
      <formula1>G13</formula1>
    </dataValidation>
    <dataValidation allowBlank="1" showInputMessage="1" sqref="D18:D20 I18:I20 F18:G20"/>
  </dataValidations>
  <printOptions/>
  <pageMargins left="0.2755905511811024" right="0.15748031496062992" top="0.984251968503937" bottom="0.984251968503937" header="0.5118110236220472" footer="0.5118110236220472"/>
  <pageSetup fitToHeight="1" fitToWidth="1" horizontalDpi="600" verticalDpi="600" orientation="landscape" r:id="rId1"/>
  <headerFooter alignWithMargins="0">
    <oddFooter>&amp;L&amp;"Verdana,Regular"&amp;8OMS/UNICEF JRF données pour 2016
&amp;F&amp;R&amp;"Verdana,Regular"&amp;8Section &amp;A, pg.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X96"/>
  <sheetViews>
    <sheetView showGridLines="0" showRowColHeaders="0" zoomScaleSheetLayoutView="75" workbookViewId="0" topLeftCell="A1">
      <selection activeCell="E9" sqref="E9"/>
    </sheetView>
  </sheetViews>
  <sheetFormatPr defaultColWidth="9.140625" defaultRowHeight="12.75"/>
  <cols>
    <col min="1" max="1" width="10.7109375" style="13" customWidth="1"/>
    <col min="2" max="2" width="19.28125" style="13" customWidth="1"/>
    <col min="3" max="3" width="55.140625" style="2" customWidth="1"/>
    <col min="4" max="4" width="11.7109375" style="12" customWidth="1"/>
    <col min="5" max="10" width="10.28125" style="12" customWidth="1"/>
    <col min="11" max="11" width="9.7109375" style="12" customWidth="1"/>
    <col min="12" max="12" width="14.57421875" style="12" customWidth="1"/>
    <col min="13" max="13" width="17.421875" style="12" customWidth="1"/>
    <col min="14" max="14" width="19.00390625" style="12" customWidth="1"/>
    <col min="15" max="15" width="7.140625" style="12" customWidth="1"/>
    <col min="16" max="16" width="17.57421875" style="13" customWidth="1"/>
    <col min="17" max="18" width="16.7109375" style="2" customWidth="1"/>
    <col min="19" max="42" width="9.140625" style="2" customWidth="1"/>
    <col min="43" max="43" width="6.421875" style="2" customWidth="1"/>
    <col min="44" max="46" width="8.8515625" style="2" customWidth="1"/>
    <col min="47" max="16384" width="9.140625" style="2" customWidth="1"/>
  </cols>
  <sheetData>
    <row r="1" ht="3.75" customHeight="1"/>
    <row r="2" spans="1:18" ht="37.5" customHeight="1">
      <c r="A2" s="597" t="s">
        <v>991</v>
      </c>
      <c r="B2" s="597"/>
      <c r="C2" s="597"/>
      <c r="D2" s="597"/>
      <c r="E2" s="597"/>
      <c r="F2" s="597"/>
      <c r="G2" s="597"/>
      <c r="H2" s="597"/>
      <c r="I2" s="597"/>
      <c r="J2" s="597"/>
      <c r="K2" s="597"/>
      <c r="L2" s="597"/>
      <c r="M2" s="597"/>
      <c r="N2" s="598"/>
      <c r="O2" s="15"/>
      <c r="P2" s="388"/>
      <c r="Q2" s="388"/>
      <c r="R2" s="388"/>
    </row>
    <row r="3" spans="1:18" s="5" customFormat="1" ht="90" customHeight="1">
      <c r="A3" s="593" t="s">
        <v>1435</v>
      </c>
      <c r="B3" s="593"/>
      <c r="C3" s="593"/>
      <c r="D3" s="593"/>
      <c r="E3" s="593"/>
      <c r="F3" s="593"/>
      <c r="G3" s="593"/>
      <c r="H3" s="593"/>
      <c r="I3" s="593"/>
      <c r="J3" s="593"/>
      <c r="K3" s="593"/>
      <c r="L3" s="593"/>
      <c r="M3" s="593"/>
      <c r="N3" s="594"/>
      <c r="O3" s="15"/>
      <c r="P3" s="389"/>
      <c r="Q3" s="389"/>
      <c r="R3" s="389"/>
    </row>
    <row r="4" spans="4:16" ht="6.75" customHeight="1">
      <c r="D4" s="2"/>
      <c r="E4" s="2"/>
      <c r="F4" s="2"/>
      <c r="G4" s="2"/>
      <c r="H4" s="2"/>
      <c r="I4" s="2"/>
      <c r="J4" s="2"/>
      <c r="K4" s="2"/>
      <c r="L4" s="2"/>
      <c r="M4" s="2"/>
      <c r="N4" s="2"/>
      <c r="O4" s="5"/>
      <c r="P4" s="5"/>
    </row>
    <row r="5" spans="1:16" ht="17.25" customHeight="1" thickBot="1">
      <c r="A5" s="150" t="str">
        <f>HYPERLINK(CONCATENATE(Filename,"Ins2010_2590"),"(Table instructions)")</f>
        <v>(Table instructions)</v>
      </c>
      <c r="B5" s="153"/>
      <c r="O5" s="611"/>
      <c r="P5" s="611"/>
    </row>
    <row r="6" spans="1:22" s="14" customFormat="1" ht="57.75" customHeight="1">
      <c r="A6" s="20"/>
      <c r="B6" s="581" t="s">
        <v>1430</v>
      </c>
      <c r="C6" s="582"/>
      <c r="D6" s="590"/>
      <c r="E6" s="581" t="s">
        <v>466</v>
      </c>
      <c r="F6" s="582"/>
      <c r="G6" s="582"/>
      <c r="H6" s="582"/>
      <c r="I6" s="582"/>
      <c r="J6" s="590"/>
      <c r="K6" s="581" t="s">
        <v>792</v>
      </c>
      <c r="L6" s="582"/>
      <c r="M6" s="605" t="s">
        <v>793</v>
      </c>
      <c r="N6" s="595" t="s">
        <v>498</v>
      </c>
      <c r="O6" s="15"/>
      <c r="P6" s="589"/>
      <c r="Q6" s="601"/>
      <c r="R6" s="589"/>
      <c r="V6" s="2"/>
    </row>
    <row r="7" spans="1:22" s="14" customFormat="1" ht="12.75" customHeight="1">
      <c r="A7" s="21"/>
      <c r="B7" s="583"/>
      <c r="C7" s="584"/>
      <c r="D7" s="607"/>
      <c r="E7" s="602" t="str">
        <f>HYPERLINK(CONCATENATE(Filename,"Ins2010_2590_A_F"),"(instructions)")</f>
        <v>(instructions)</v>
      </c>
      <c r="F7" s="603"/>
      <c r="G7" s="603"/>
      <c r="H7" s="603"/>
      <c r="I7" s="603"/>
      <c r="J7" s="604"/>
      <c r="K7" s="583"/>
      <c r="L7" s="584"/>
      <c r="M7" s="606"/>
      <c r="N7" s="596"/>
      <c r="O7" s="15"/>
      <c r="P7" s="589"/>
      <c r="Q7" s="601"/>
      <c r="R7" s="589"/>
      <c r="V7" s="2"/>
    </row>
    <row r="8" spans="1:22" s="14" customFormat="1" ht="47.25" customHeight="1">
      <c r="A8" s="22"/>
      <c r="B8" s="608"/>
      <c r="C8" s="609"/>
      <c r="D8" s="610"/>
      <c r="E8" s="11" t="s">
        <v>467</v>
      </c>
      <c r="F8" s="11" t="s">
        <v>468</v>
      </c>
      <c r="G8" s="11" t="s">
        <v>469</v>
      </c>
      <c r="H8" s="11" t="s">
        <v>470</v>
      </c>
      <c r="I8" s="11" t="s">
        <v>471</v>
      </c>
      <c r="J8" s="11" t="s">
        <v>472</v>
      </c>
      <c r="K8" s="164" t="s">
        <v>473</v>
      </c>
      <c r="L8" s="164" t="s">
        <v>589</v>
      </c>
      <c r="M8" s="169" t="str">
        <f>HYPERLINK(CONCATENATE(Filename,"Ins2010_2590_I_J"),"(instructions)")</f>
        <v>(instructions)</v>
      </c>
      <c r="N8" s="330" t="str">
        <f>HYPERLINK(CONCATENATE(Filename,"Ins2010_2590_I_J"),"(instructions)")</f>
        <v>(instructions)</v>
      </c>
      <c r="O8" s="15"/>
      <c r="P8" s="394"/>
      <c r="Q8" s="394"/>
      <c r="R8" s="394"/>
      <c r="V8" s="2"/>
    </row>
    <row r="9" spans="1:18" ht="21">
      <c r="A9" s="18">
        <v>2010</v>
      </c>
      <c r="B9" s="82" t="s">
        <v>52</v>
      </c>
      <c r="C9" s="514" t="s">
        <v>108</v>
      </c>
      <c r="D9" s="545"/>
      <c r="E9" s="34"/>
      <c r="F9" s="34"/>
      <c r="G9" s="34"/>
      <c r="H9" s="34"/>
      <c r="I9" s="34"/>
      <c r="J9" s="151"/>
      <c r="K9" s="165"/>
      <c r="L9" s="165"/>
      <c r="M9" s="146" t="s">
        <v>510</v>
      </c>
      <c r="N9" s="397"/>
      <c r="P9" s="254"/>
      <c r="Q9" s="239"/>
      <c r="R9" s="209"/>
    </row>
    <row r="10" spans="1:18" ht="21">
      <c r="A10" s="18">
        <v>2020</v>
      </c>
      <c r="B10" s="82" t="s">
        <v>451</v>
      </c>
      <c r="C10" s="82" t="s">
        <v>461</v>
      </c>
      <c r="D10" s="128" t="s">
        <v>510</v>
      </c>
      <c r="E10" s="34"/>
      <c r="F10" s="34"/>
      <c r="G10" s="34"/>
      <c r="H10" s="34"/>
      <c r="I10" s="34"/>
      <c r="J10" s="34"/>
      <c r="K10" s="149"/>
      <c r="L10" s="149"/>
      <c r="M10" s="146" t="s">
        <v>510</v>
      </c>
      <c r="N10" s="397"/>
      <c r="P10" s="254"/>
      <c r="Q10" s="239"/>
      <c r="R10" s="209"/>
    </row>
    <row r="11" spans="1:18" s="13" customFormat="1" ht="21">
      <c r="A11" s="231">
        <v>2030</v>
      </c>
      <c r="B11" s="82" t="s">
        <v>452</v>
      </c>
      <c r="C11" s="82" t="s">
        <v>463</v>
      </c>
      <c r="D11" s="128" t="s">
        <v>510</v>
      </c>
      <c r="E11" s="61"/>
      <c r="F11" s="61"/>
      <c r="G11" s="61"/>
      <c r="H11" s="61"/>
      <c r="I11" s="61"/>
      <c r="J11" s="61"/>
      <c r="K11" s="146"/>
      <c r="L11" s="146"/>
      <c r="M11" s="146" t="s">
        <v>510</v>
      </c>
      <c r="N11" s="397"/>
      <c r="O11" s="232"/>
      <c r="P11" s="255"/>
      <c r="Q11" s="239"/>
      <c r="R11" s="239"/>
    </row>
    <row r="12" spans="1:24" s="13" customFormat="1" ht="21">
      <c r="A12" s="231">
        <v>2040</v>
      </c>
      <c r="B12" s="82" t="s">
        <v>453</v>
      </c>
      <c r="C12" s="82" t="s">
        <v>903</v>
      </c>
      <c r="D12" s="128" t="s">
        <v>510</v>
      </c>
      <c r="E12" s="61"/>
      <c r="F12" s="61"/>
      <c r="G12" s="61"/>
      <c r="H12" s="61"/>
      <c r="I12" s="61"/>
      <c r="J12" s="61"/>
      <c r="K12" s="146"/>
      <c r="L12" s="146"/>
      <c r="M12" s="146" t="s">
        <v>510</v>
      </c>
      <c r="N12" s="397"/>
      <c r="O12" s="232"/>
      <c r="P12" s="255"/>
      <c r="Q12" s="239"/>
      <c r="R12" s="239"/>
      <c r="T12" s="233"/>
      <c r="U12" s="233"/>
      <c r="V12" s="233"/>
      <c r="W12" s="233"/>
      <c r="X12" s="100"/>
    </row>
    <row r="13" spans="1:24" s="13" customFormat="1" ht="21">
      <c r="A13" s="231">
        <v>2050</v>
      </c>
      <c r="B13" s="82" t="s">
        <v>454</v>
      </c>
      <c r="C13" s="82" t="s">
        <v>464</v>
      </c>
      <c r="D13" s="128" t="s">
        <v>510</v>
      </c>
      <c r="E13" s="61"/>
      <c r="F13" s="61"/>
      <c r="G13" s="61"/>
      <c r="H13" s="61"/>
      <c r="I13" s="61"/>
      <c r="J13" s="61"/>
      <c r="K13" s="146"/>
      <c r="L13" s="146"/>
      <c r="M13" s="146" t="s">
        <v>510</v>
      </c>
      <c r="N13" s="397"/>
      <c r="O13" s="232"/>
      <c r="P13" s="255"/>
      <c r="Q13" s="239"/>
      <c r="R13" s="239"/>
      <c r="T13" s="66"/>
      <c r="U13" s="66"/>
      <c r="V13" s="66"/>
      <c r="W13" s="66"/>
      <c r="X13" s="100"/>
    </row>
    <row r="14" spans="1:24" s="13" customFormat="1" ht="21">
      <c r="A14" s="231">
        <v>2060</v>
      </c>
      <c r="B14" s="82" t="s">
        <v>455</v>
      </c>
      <c r="C14" s="82" t="s">
        <v>465</v>
      </c>
      <c r="D14" s="128" t="s">
        <v>510</v>
      </c>
      <c r="E14" s="61"/>
      <c r="F14" s="61"/>
      <c r="G14" s="61"/>
      <c r="H14" s="61"/>
      <c r="I14" s="61"/>
      <c r="J14" s="61"/>
      <c r="K14" s="146"/>
      <c r="L14" s="146"/>
      <c r="M14" s="146" t="s">
        <v>510</v>
      </c>
      <c r="N14" s="397"/>
      <c r="O14" s="232"/>
      <c r="P14" s="255"/>
      <c r="Q14" s="239"/>
      <c r="R14" s="239"/>
      <c r="T14" s="66"/>
      <c r="U14" s="100"/>
      <c r="V14" s="100"/>
      <c r="W14" s="100"/>
      <c r="X14" s="100"/>
    </row>
    <row r="15" spans="1:20" s="13" customFormat="1" ht="21">
      <c r="A15" s="231">
        <v>2070</v>
      </c>
      <c r="B15" s="82" t="s">
        <v>511</v>
      </c>
      <c r="C15" s="82" t="s">
        <v>904</v>
      </c>
      <c r="D15" s="128" t="s">
        <v>510</v>
      </c>
      <c r="E15" s="61"/>
      <c r="F15" s="61"/>
      <c r="G15" s="61"/>
      <c r="H15" s="61"/>
      <c r="I15" s="61"/>
      <c r="J15" s="61"/>
      <c r="K15" s="146"/>
      <c r="L15" s="146"/>
      <c r="M15" s="146" t="s">
        <v>510</v>
      </c>
      <c r="N15" s="397"/>
      <c r="O15" s="232"/>
      <c r="P15" s="255"/>
      <c r="Q15" s="239"/>
      <c r="R15" s="239"/>
      <c r="T15" s="66"/>
    </row>
    <row r="16" spans="1:18" s="13" customFormat="1" ht="21">
      <c r="A16" s="231">
        <v>2080</v>
      </c>
      <c r="B16" s="82" t="s">
        <v>456</v>
      </c>
      <c r="C16" s="82" t="s">
        <v>905</v>
      </c>
      <c r="D16" s="128" t="s">
        <v>510</v>
      </c>
      <c r="E16" s="61"/>
      <c r="F16" s="61"/>
      <c r="G16" s="61"/>
      <c r="H16" s="61"/>
      <c r="I16" s="61"/>
      <c r="J16" s="61"/>
      <c r="K16" s="146"/>
      <c r="L16" s="146"/>
      <c r="M16" s="146" t="s">
        <v>510</v>
      </c>
      <c r="N16" s="397"/>
      <c r="O16" s="232"/>
      <c r="P16" s="255"/>
      <c r="Q16" s="239"/>
      <c r="R16" s="239"/>
    </row>
    <row r="17" spans="1:18" s="13" customFormat="1" ht="21">
      <c r="A17" s="231">
        <v>2090</v>
      </c>
      <c r="B17" s="82" t="s">
        <v>460</v>
      </c>
      <c r="C17" s="82" t="s">
        <v>906</v>
      </c>
      <c r="D17" s="128" t="s">
        <v>510</v>
      </c>
      <c r="E17" s="61"/>
      <c r="F17" s="61"/>
      <c r="G17" s="61"/>
      <c r="H17" s="61"/>
      <c r="I17" s="61"/>
      <c r="J17" s="61"/>
      <c r="K17" s="146"/>
      <c r="L17" s="146"/>
      <c r="M17" s="146" t="s">
        <v>510</v>
      </c>
      <c r="N17" s="397"/>
      <c r="O17" s="232"/>
      <c r="P17" s="255"/>
      <c r="Q17" s="239"/>
      <c r="R17" s="239"/>
    </row>
    <row r="18" spans="1:18" s="13" customFormat="1" ht="21">
      <c r="A18" s="231">
        <v>2100</v>
      </c>
      <c r="B18" s="82" t="s">
        <v>895</v>
      </c>
      <c r="C18" s="77" t="s">
        <v>907</v>
      </c>
      <c r="D18" s="128" t="s">
        <v>510</v>
      </c>
      <c r="E18" s="61"/>
      <c r="F18" s="61"/>
      <c r="G18" s="61"/>
      <c r="H18" s="61"/>
      <c r="I18" s="61"/>
      <c r="J18" s="61"/>
      <c r="K18" s="146"/>
      <c r="L18" s="146"/>
      <c r="M18" s="146" t="s">
        <v>510</v>
      </c>
      <c r="N18" s="397"/>
      <c r="O18" s="232"/>
      <c r="P18" s="255"/>
      <c r="Q18" s="239"/>
      <c r="R18" s="239"/>
    </row>
    <row r="19" spans="1:18" s="13" customFormat="1" ht="21">
      <c r="A19" s="231">
        <v>2110</v>
      </c>
      <c r="B19" s="82" t="s">
        <v>54</v>
      </c>
      <c r="C19" s="514" t="s">
        <v>441</v>
      </c>
      <c r="D19" s="545"/>
      <c r="E19" s="61"/>
      <c r="F19" s="61"/>
      <c r="G19" s="61"/>
      <c r="H19" s="61"/>
      <c r="I19" s="61"/>
      <c r="J19" s="61"/>
      <c r="K19" s="146"/>
      <c r="L19" s="146"/>
      <c r="M19" s="146" t="s">
        <v>510</v>
      </c>
      <c r="N19" s="397"/>
      <c r="O19" s="232"/>
      <c r="P19" s="255"/>
      <c r="Q19" s="239"/>
      <c r="R19" s="239"/>
    </row>
    <row r="20" spans="1:18" s="13" customFormat="1" ht="21">
      <c r="A20" s="231">
        <v>2120</v>
      </c>
      <c r="B20" s="82" t="s">
        <v>55</v>
      </c>
      <c r="C20" s="514" t="s">
        <v>474</v>
      </c>
      <c r="D20" s="545"/>
      <c r="E20" s="61"/>
      <c r="F20" s="61"/>
      <c r="G20" s="61"/>
      <c r="H20" s="61"/>
      <c r="I20" s="61"/>
      <c r="J20" s="61"/>
      <c r="K20" s="146"/>
      <c r="L20" s="146"/>
      <c r="M20" s="146" t="s">
        <v>510</v>
      </c>
      <c r="N20" s="397"/>
      <c r="O20" s="232"/>
      <c r="P20" s="255"/>
      <c r="Q20" s="239"/>
      <c r="R20" s="239"/>
    </row>
    <row r="21" spans="1:18" s="13" customFormat="1" ht="21">
      <c r="A21" s="231">
        <v>2130</v>
      </c>
      <c r="B21" s="82" t="s">
        <v>56</v>
      </c>
      <c r="C21" s="514" t="s">
        <v>475</v>
      </c>
      <c r="D21" s="545"/>
      <c r="E21" s="61"/>
      <c r="F21" s="61"/>
      <c r="G21" s="61"/>
      <c r="H21" s="61"/>
      <c r="I21" s="61"/>
      <c r="J21" s="61"/>
      <c r="K21" s="146"/>
      <c r="L21" s="146"/>
      <c r="M21" s="146" t="s">
        <v>510</v>
      </c>
      <c r="N21" s="397"/>
      <c r="O21" s="232"/>
      <c r="P21" s="255"/>
      <c r="Q21" s="239"/>
      <c r="R21" s="239"/>
    </row>
    <row r="22" spans="1:18" s="13" customFormat="1" ht="21">
      <c r="A22" s="231">
        <v>2140</v>
      </c>
      <c r="B22" s="82" t="s">
        <v>567</v>
      </c>
      <c r="C22" s="514" t="s">
        <v>568</v>
      </c>
      <c r="D22" s="545"/>
      <c r="E22" s="61"/>
      <c r="F22" s="61"/>
      <c r="G22" s="61"/>
      <c r="H22" s="61"/>
      <c r="I22" s="61"/>
      <c r="J22" s="61"/>
      <c r="K22" s="146"/>
      <c r="L22" s="146"/>
      <c r="M22" s="146" t="s">
        <v>510</v>
      </c>
      <c r="N22" s="397"/>
      <c r="O22" s="232"/>
      <c r="P22" s="255"/>
      <c r="Q22" s="239"/>
      <c r="R22" s="239"/>
    </row>
    <row r="23" spans="1:18" s="13" customFormat="1" ht="23.25" customHeight="1">
      <c r="A23" s="231">
        <v>2150</v>
      </c>
      <c r="B23" s="82" t="s">
        <v>896</v>
      </c>
      <c r="C23" s="591" t="s">
        <v>897</v>
      </c>
      <c r="D23" s="592"/>
      <c r="E23" s="61"/>
      <c r="F23" s="61"/>
      <c r="G23" s="61"/>
      <c r="H23" s="61"/>
      <c r="I23" s="61"/>
      <c r="J23" s="61"/>
      <c r="K23" s="146"/>
      <c r="L23" s="146"/>
      <c r="M23" s="146" t="s">
        <v>510</v>
      </c>
      <c r="N23" s="397"/>
      <c r="O23" s="232"/>
      <c r="P23" s="255"/>
      <c r="Q23" s="239"/>
      <c r="R23" s="239"/>
    </row>
    <row r="24" spans="1:18" s="13" customFormat="1" ht="27.75" customHeight="1">
      <c r="A24" s="231">
        <v>2160</v>
      </c>
      <c r="B24" s="82" t="s">
        <v>898</v>
      </c>
      <c r="C24" s="591" t="s">
        <v>908</v>
      </c>
      <c r="D24" s="592"/>
      <c r="E24" s="61"/>
      <c r="F24" s="61"/>
      <c r="G24" s="61"/>
      <c r="H24" s="61"/>
      <c r="I24" s="61"/>
      <c r="J24" s="61"/>
      <c r="K24" s="146"/>
      <c r="L24" s="146"/>
      <c r="M24" s="146" t="s">
        <v>510</v>
      </c>
      <c r="N24" s="397"/>
      <c r="O24" s="232"/>
      <c r="P24" s="255"/>
      <c r="Q24" s="239"/>
      <c r="R24" s="239"/>
    </row>
    <row r="25" spans="1:18" s="13" customFormat="1" ht="21">
      <c r="A25" s="231">
        <v>2170</v>
      </c>
      <c r="B25" s="82" t="s">
        <v>741</v>
      </c>
      <c r="C25" s="514" t="s">
        <v>395</v>
      </c>
      <c r="D25" s="545"/>
      <c r="E25" s="61"/>
      <c r="F25" s="61"/>
      <c r="G25" s="61"/>
      <c r="H25" s="61"/>
      <c r="I25" s="61"/>
      <c r="J25" s="61"/>
      <c r="K25" s="146"/>
      <c r="L25" s="146"/>
      <c r="M25" s="146" t="s">
        <v>510</v>
      </c>
      <c r="N25" s="397"/>
      <c r="O25" s="232"/>
      <c r="P25" s="255"/>
      <c r="Q25" s="239"/>
      <c r="R25" s="239"/>
    </row>
    <row r="26" spans="1:18" s="13" customFormat="1" ht="21">
      <c r="A26" s="231">
        <v>2180</v>
      </c>
      <c r="B26" s="82" t="s">
        <v>476</v>
      </c>
      <c r="C26" s="82" t="s">
        <v>445</v>
      </c>
      <c r="D26" s="128" t="s">
        <v>512</v>
      </c>
      <c r="E26" s="61"/>
      <c r="F26" s="61"/>
      <c r="G26" s="61"/>
      <c r="H26" s="61"/>
      <c r="I26" s="61"/>
      <c r="J26" s="61"/>
      <c r="K26" s="146"/>
      <c r="L26" s="146"/>
      <c r="M26" s="146" t="s">
        <v>510</v>
      </c>
      <c r="N26" s="397"/>
      <c r="O26" s="232"/>
      <c r="P26" s="255"/>
      <c r="Q26" s="239"/>
      <c r="R26" s="239"/>
    </row>
    <row r="27" spans="1:18" s="13" customFormat="1" ht="27.75" customHeight="1">
      <c r="A27" s="231">
        <v>2190</v>
      </c>
      <c r="B27" s="82" t="s">
        <v>441</v>
      </c>
      <c r="C27" s="591" t="s">
        <v>441</v>
      </c>
      <c r="D27" s="592"/>
      <c r="E27" s="61"/>
      <c r="F27" s="61"/>
      <c r="G27" s="61"/>
      <c r="H27" s="61"/>
      <c r="I27" s="61"/>
      <c r="J27" s="61"/>
      <c r="K27" s="146"/>
      <c r="L27" s="146"/>
      <c r="M27" s="146" t="s">
        <v>510</v>
      </c>
      <c r="N27" s="397"/>
      <c r="O27" s="232"/>
      <c r="P27" s="255"/>
      <c r="Q27" s="239"/>
      <c r="R27" s="239"/>
    </row>
    <row r="28" spans="1:18" s="13" customFormat="1" ht="21">
      <c r="A28" s="231">
        <v>2200</v>
      </c>
      <c r="B28" s="82" t="s">
        <v>899</v>
      </c>
      <c r="C28" s="514" t="s">
        <v>901</v>
      </c>
      <c r="D28" s="545"/>
      <c r="E28" s="61"/>
      <c r="F28" s="61"/>
      <c r="G28" s="61"/>
      <c r="H28" s="61"/>
      <c r="I28" s="61"/>
      <c r="J28" s="61"/>
      <c r="K28" s="146"/>
      <c r="L28" s="146"/>
      <c r="M28" s="146" t="s">
        <v>510</v>
      </c>
      <c r="N28" s="397"/>
      <c r="O28" s="232"/>
      <c r="P28" s="255"/>
      <c r="Q28" s="239"/>
      <c r="R28" s="239"/>
    </row>
    <row r="29" spans="1:18" s="13" customFormat="1" ht="30" customHeight="1">
      <c r="A29" s="231">
        <v>2210</v>
      </c>
      <c r="B29" s="82" t="s">
        <v>900</v>
      </c>
      <c r="C29" s="514" t="s">
        <v>902</v>
      </c>
      <c r="D29" s="545"/>
      <c r="E29" s="61"/>
      <c r="F29" s="61"/>
      <c r="G29" s="61"/>
      <c r="H29" s="61"/>
      <c r="I29" s="61"/>
      <c r="J29" s="61"/>
      <c r="K29" s="146"/>
      <c r="L29" s="146"/>
      <c r="M29" s="146" t="s">
        <v>510</v>
      </c>
      <c r="N29" s="397"/>
      <c r="O29" s="232"/>
      <c r="P29" s="255"/>
      <c r="Q29" s="239"/>
      <c r="R29" s="239"/>
    </row>
    <row r="30" spans="1:18" s="13" customFormat="1" ht="21">
      <c r="A30" s="231">
        <v>2220</v>
      </c>
      <c r="B30" s="82" t="s">
        <v>761</v>
      </c>
      <c r="C30" s="514" t="s">
        <v>763</v>
      </c>
      <c r="D30" s="545"/>
      <c r="E30" s="61"/>
      <c r="F30" s="61"/>
      <c r="G30" s="61"/>
      <c r="H30" s="61"/>
      <c r="I30" s="61"/>
      <c r="J30" s="61"/>
      <c r="K30" s="146"/>
      <c r="L30" s="146"/>
      <c r="M30" s="146" t="s">
        <v>510</v>
      </c>
      <c r="N30" s="397"/>
      <c r="O30" s="232"/>
      <c r="P30" s="255"/>
      <c r="Q30" s="239"/>
      <c r="R30" s="239"/>
    </row>
    <row r="31" spans="1:18" s="13" customFormat="1" ht="21">
      <c r="A31" s="231">
        <v>2230</v>
      </c>
      <c r="B31" s="82" t="s">
        <v>762</v>
      </c>
      <c r="C31" s="514" t="s">
        <v>764</v>
      </c>
      <c r="D31" s="545"/>
      <c r="E31" s="61"/>
      <c r="F31" s="61"/>
      <c r="G31" s="61"/>
      <c r="H31" s="61"/>
      <c r="I31" s="61"/>
      <c r="J31" s="61"/>
      <c r="K31" s="146"/>
      <c r="L31" s="146"/>
      <c r="M31" s="146" t="s">
        <v>510</v>
      </c>
      <c r="N31" s="397"/>
      <c r="O31" s="232"/>
      <c r="P31" s="255"/>
      <c r="Q31" s="239"/>
      <c r="R31" s="239"/>
    </row>
    <row r="32" spans="1:18" s="13" customFormat="1" ht="21">
      <c r="A32" s="231">
        <v>2240</v>
      </c>
      <c r="B32" s="82" t="s">
        <v>53</v>
      </c>
      <c r="C32" s="514" t="s">
        <v>482</v>
      </c>
      <c r="D32" s="545"/>
      <c r="E32" s="61"/>
      <c r="F32" s="61"/>
      <c r="G32" s="61"/>
      <c r="H32" s="61"/>
      <c r="I32" s="61"/>
      <c r="J32" s="61"/>
      <c r="K32" s="146"/>
      <c r="L32" s="146"/>
      <c r="M32" s="146" t="s">
        <v>510</v>
      </c>
      <c r="N32" s="397"/>
      <c r="O32" s="232"/>
      <c r="P32" s="255"/>
      <c r="Q32" s="239"/>
      <c r="R32" s="239"/>
    </row>
    <row r="33" spans="1:18" s="13" customFormat="1" ht="21">
      <c r="A33" s="231">
        <v>2250</v>
      </c>
      <c r="B33" s="82" t="s">
        <v>477</v>
      </c>
      <c r="C33" s="514" t="s">
        <v>483</v>
      </c>
      <c r="D33" s="545"/>
      <c r="E33" s="61"/>
      <c r="F33" s="61"/>
      <c r="G33" s="61"/>
      <c r="H33" s="61"/>
      <c r="I33" s="61"/>
      <c r="J33" s="61"/>
      <c r="K33" s="146"/>
      <c r="L33" s="146"/>
      <c r="M33" s="146" t="s">
        <v>510</v>
      </c>
      <c r="N33" s="397"/>
      <c r="O33" s="232"/>
      <c r="P33" s="255"/>
      <c r="Q33" s="239"/>
      <c r="R33" s="239"/>
    </row>
    <row r="34" spans="1:18" s="13" customFormat="1" ht="21">
      <c r="A34" s="231">
        <v>2260</v>
      </c>
      <c r="B34" s="82" t="s">
        <v>478</v>
      </c>
      <c r="C34" s="514" t="s">
        <v>484</v>
      </c>
      <c r="D34" s="545"/>
      <c r="E34" s="61"/>
      <c r="F34" s="61"/>
      <c r="G34" s="61"/>
      <c r="H34" s="61"/>
      <c r="I34" s="61"/>
      <c r="J34" s="61"/>
      <c r="K34" s="146"/>
      <c r="L34" s="146"/>
      <c r="M34" s="146" t="s">
        <v>510</v>
      </c>
      <c r="N34" s="397"/>
      <c r="O34" s="232"/>
      <c r="P34" s="255"/>
      <c r="Q34" s="239"/>
      <c r="R34" s="239"/>
    </row>
    <row r="35" spans="1:18" s="13" customFormat="1" ht="21">
      <c r="A35" s="231">
        <v>2270</v>
      </c>
      <c r="B35" s="82" t="s">
        <v>442</v>
      </c>
      <c r="C35" s="514" t="s">
        <v>442</v>
      </c>
      <c r="D35" s="545"/>
      <c r="E35" s="61"/>
      <c r="F35" s="61"/>
      <c r="G35" s="61"/>
      <c r="H35" s="61"/>
      <c r="I35" s="61"/>
      <c r="J35" s="61"/>
      <c r="K35" s="146"/>
      <c r="L35" s="146"/>
      <c r="M35" s="146" t="s">
        <v>510</v>
      </c>
      <c r="N35" s="397"/>
      <c r="O35" s="232"/>
      <c r="P35" s="255"/>
      <c r="Q35" s="239"/>
      <c r="R35" s="239"/>
    </row>
    <row r="36" spans="1:18" s="13" customFormat="1" ht="21">
      <c r="A36" s="231">
        <v>2280</v>
      </c>
      <c r="B36" s="82" t="s">
        <v>479</v>
      </c>
      <c r="C36" s="514" t="s">
        <v>485</v>
      </c>
      <c r="D36" s="545"/>
      <c r="E36" s="61"/>
      <c r="F36" s="61"/>
      <c r="G36" s="61"/>
      <c r="H36" s="61"/>
      <c r="I36" s="61"/>
      <c r="J36" s="61"/>
      <c r="K36" s="146"/>
      <c r="L36" s="146"/>
      <c r="M36" s="146" t="s">
        <v>510</v>
      </c>
      <c r="N36" s="397"/>
      <c r="O36" s="232"/>
      <c r="P36" s="255"/>
      <c r="Q36" s="239"/>
      <c r="R36" s="239"/>
    </row>
    <row r="37" spans="1:18" s="13" customFormat="1" ht="21">
      <c r="A37" s="231">
        <v>2290</v>
      </c>
      <c r="B37" s="82" t="s">
        <v>480</v>
      </c>
      <c r="C37" s="514" t="s">
        <v>486</v>
      </c>
      <c r="D37" s="545"/>
      <c r="E37" s="61"/>
      <c r="F37" s="61"/>
      <c r="G37" s="61"/>
      <c r="H37" s="61"/>
      <c r="I37" s="61"/>
      <c r="J37" s="61"/>
      <c r="K37" s="146"/>
      <c r="L37" s="146"/>
      <c r="M37" s="146" t="s">
        <v>510</v>
      </c>
      <c r="N37" s="397"/>
      <c r="O37" s="232"/>
      <c r="P37" s="255"/>
      <c r="Q37" s="239"/>
      <c r="R37" s="239"/>
    </row>
    <row r="38" spans="1:18" s="13" customFormat="1" ht="21">
      <c r="A38" s="231">
        <v>2300</v>
      </c>
      <c r="B38" s="82" t="s">
        <v>481</v>
      </c>
      <c r="C38" s="514" t="s">
        <v>487</v>
      </c>
      <c r="D38" s="545"/>
      <c r="E38" s="61"/>
      <c r="F38" s="61"/>
      <c r="G38" s="61"/>
      <c r="H38" s="61"/>
      <c r="I38" s="61"/>
      <c r="J38" s="61"/>
      <c r="K38" s="146"/>
      <c r="L38" s="146"/>
      <c r="M38" s="146" t="s">
        <v>510</v>
      </c>
      <c r="N38" s="397"/>
      <c r="O38" s="232"/>
      <c r="P38" s="255"/>
      <c r="Q38" s="239"/>
      <c r="R38" s="239"/>
    </row>
    <row r="39" spans="1:18" s="13" customFormat="1" ht="24.75" customHeight="1">
      <c r="A39" s="231">
        <v>2310</v>
      </c>
      <c r="B39" s="82" t="s">
        <v>909</v>
      </c>
      <c r="C39" s="591" t="s">
        <v>910</v>
      </c>
      <c r="D39" s="592"/>
      <c r="E39" s="61"/>
      <c r="F39" s="61"/>
      <c r="G39" s="61"/>
      <c r="H39" s="61"/>
      <c r="I39" s="61"/>
      <c r="J39" s="61"/>
      <c r="K39" s="146"/>
      <c r="L39" s="146"/>
      <c r="M39" s="146" t="s">
        <v>510</v>
      </c>
      <c r="N39" s="397"/>
      <c r="O39" s="232"/>
      <c r="P39" s="255"/>
      <c r="Q39" s="239"/>
      <c r="R39" s="239"/>
    </row>
    <row r="40" spans="1:18" s="13" customFormat="1" ht="21">
      <c r="A40" s="231">
        <v>2320</v>
      </c>
      <c r="B40" s="82" t="s">
        <v>448</v>
      </c>
      <c r="C40" s="514" t="s">
        <v>448</v>
      </c>
      <c r="D40" s="545"/>
      <c r="E40" s="61"/>
      <c r="F40" s="61"/>
      <c r="G40" s="61"/>
      <c r="H40" s="61"/>
      <c r="I40" s="61"/>
      <c r="J40" s="61"/>
      <c r="K40" s="146"/>
      <c r="L40" s="146"/>
      <c r="M40" s="146" t="s">
        <v>510</v>
      </c>
      <c r="N40" s="397"/>
      <c r="O40" s="232"/>
      <c r="P40" s="255"/>
      <c r="Q40" s="239"/>
      <c r="R40" s="239"/>
    </row>
    <row r="41" spans="1:18" s="13" customFormat="1" ht="21">
      <c r="A41" s="231">
        <v>2330</v>
      </c>
      <c r="B41" s="82" t="s">
        <v>771</v>
      </c>
      <c r="C41" s="514" t="s">
        <v>769</v>
      </c>
      <c r="D41" s="545"/>
      <c r="E41" s="61"/>
      <c r="F41" s="61"/>
      <c r="G41" s="61"/>
      <c r="H41" s="61"/>
      <c r="I41" s="61"/>
      <c r="J41" s="61"/>
      <c r="K41" s="146"/>
      <c r="L41" s="146"/>
      <c r="M41" s="146" t="s">
        <v>510</v>
      </c>
      <c r="N41" s="397"/>
      <c r="O41" s="232"/>
      <c r="P41" s="255"/>
      <c r="Q41" s="239"/>
      <c r="R41" s="239"/>
    </row>
    <row r="42" spans="1:18" s="13" customFormat="1" ht="26.25" customHeight="1">
      <c r="A42" s="231">
        <v>2340</v>
      </c>
      <c r="B42" s="82" t="s">
        <v>772</v>
      </c>
      <c r="C42" s="514" t="s">
        <v>770</v>
      </c>
      <c r="D42" s="545"/>
      <c r="E42" s="61"/>
      <c r="F42" s="61"/>
      <c r="G42" s="61"/>
      <c r="H42" s="61"/>
      <c r="I42" s="61"/>
      <c r="J42" s="61"/>
      <c r="K42" s="146"/>
      <c r="L42" s="146"/>
      <c r="M42" s="146" t="s">
        <v>510</v>
      </c>
      <c r="N42" s="397"/>
      <c r="O42" s="232"/>
      <c r="P42" s="255"/>
      <c r="Q42" s="239"/>
      <c r="R42" s="239"/>
    </row>
    <row r="43" spans="1:18" s="13" customFormat="1" ht="26.25" customHeight="1">
      <c r="A43" s="231">
        <v>2350</v>
      </c>
      <c r="B43" s="82" t="s">
        <v>911</v>
      </c>
      <c r="C43" s="591" t="s">
        <v>912</v>
      </c>
      <c r="D43" s="592"/>
      <c r="E43" s="61"/>
      <c r="F43" s="61"/>
      <c r="G43" s="61"/>
      <c r="H43" s="61"/>
      <c r="I43" s="61"/>
      <c r="J43" s="61"/>
      <c r="K43" s="146"/>
      <c r="L43" s="146"/>
      <c r="M43" s="146" t="s">
        <v>510</v>
      </c>
      <c r="N43" s="397"/>
      <c r="O43" s="232"/>
      <c r="P43" s="255"/>
      <c r="Q43" s="239"/>
      <c r="R43" s="239"/>
    </row>
    <row r="44" spans="1:18" s="13" customFormat="1" ht="21">
      <c r="A44" s="231">
        <v>2360</v>
      </c>
      <c r="B44" s="82" t="s">
        <v>765</v>
      </c>
      <c r="C44" s="514" t="s">
        <v>767</v>
      </c>
      <c r="D44" s="545"/>
      <c r="E44" s="60"/>
      <c r="F44" s="60"/>
      <c r="G44" s="60"/>
      <c r="H44" s="60"/>
      <c r="I44" s="60"/>
      <c r="J44" s="60"/>
      <c r="K44" s="146"/>
      <c r="L44" s="146"/>
      <c r="M44" s="146" t="s">
        <v>510</v>
      </c>
      <c r="N44" s="398"/>
      <c r="O44" s="232"/>
      <c r="P44" s="255"/>
      <c r="Q44" s="239"/>
      <c r="R44" s="239"/>
    </row>
    <row r="45" spans="1:18" s="13" customFormat="1" ht="21">
      <c r="A45" s="231">
        <v>2370</v>
      </c>
      <c r="B45" s="82" t="s">
        <v>766</v>
      </c>
      <c r="C45" s="514" t="s">
        <v>768</v>
      </c>
      <c r="D45" s="545"/>
      <c r="E45" s="60"/>
      <c r="F45" s="60"/>
      <c r="G45" s="60"/>
      <c r="H45" s="60"/>
      <c r="I45" s="60"/>
      <c r="J45" s="60"/>
      <c r="K45" s="146"/>
      <c r="L45" s="146"/>
      <c r="M45" s="146" t="s">
        <v>510</v>
      </c>
      <c r="N45" s="398"/>
      <c r="O45" s="232"/>
      <c r="P45" s="255"/>
      <c r="Q45" s="239"/>
      <c r="R45" s="239"/>
    </row>
    <row r="46" spans="1:18" s="13" customFormat="1" ht="21">
      <c r="A46" s="231">
        <v>2380</v>
      </c>
      <c r="B46" s="82" t="s">
        <v>57</v>
      </c>
      <c r="C46" s="514" t="s">
        <v>488</v>
      </c>
      <c r="D46" s="545"/>
      <c r="E46" s="61"/>
      <c r="F46" s="61"/>
      <c r="G46" s="61"/>
      <c r="H46" s="61"/>
      <c r="I46" s="61"/>
      <c r="J46" s="61"/>
      <c r="K46" s="146"/>
      <c r="L46" s="146"/>
      <c r="M46" s="146" t="s">
        <v>510</v>
      </c>
      <c r="N46" s="397"/>
      <c r="O46" s="232"/>
      <c r="P46" s="255"/>
      <c r="Q46" s="239"/>
      <c r="R46" s="239"/>
    </row>
    <row r="47" spans="1:18" s="13" customFormat="1" ht="21">
      <c r="A47" s="231">
        <v>2390</v>
      </c>
      <c r="B47" s="82" t="s">
        <v>58</v>
      </c>
      <c r="C47" s="514" t="s">
        <v>489</v>
      </c>
      <c r="D47" s="545"/>
      <c r="E47" s="61"/>
      <c r="F47" s="61"/>
      <c r="G47" s="61"/>
      <c r="H47" s="61"/>
      <c r="I47" s="61"/>
      <c r="J47" s="61"/>
      <c r="K47" s="146"/>
      <c r="L47" s="146"/>
      <c r="M47" s="146" t="s">
        <v>510</v>
      </c>
      <c r="N47" s="397"/>
      <c r="O47" s="232"/>
      <c r="P47" s="255"/>
      <c r="Q47" s="239"/>
      <c r="R47" s="239"/>
    </row>
    <row r="48" spans="1:18" s="13" customFormat="1" ht="21">
      <c r="A48" s="231">
        <v>2400</v>
      </c>
      <c r="B48" s="82" t="s">
        <v>61</v>
      </c>
      <c r="C48" s="514" t="s">
        <v>490</v>
      </c>
      <c r="D48" s="545"/>
      <c r="E48" s="61"/>
      <c r="F48" s="61"/>
      <c r="G48" s="61"/>
      <c r="H48" s="61"/>
      <c r="I48" s="61"/>
      <c r="J48" s="61"/>
      <c r="K48" s="146"/>
      <c r="L48" s="146"/>
      <c r="M48" s="146" t="s">
        <v>510</v>
      </c>
      <c r="N48" s="397"/>
      <c r="O48" s="232"/>
      <c r="P48" s="255"/>
      <c r="Q48" s="239"/>
      <c r="R48" s="239"/>
    </row>
    <row r="49" spans="1:18" s="13" customFormat="1" ht="21">
      <c r="A49" s="231">
        <v>2410</v>
      </c>
      <c r="B49" s="82" t="s">
        <v>913</v>
      </c>
      <c r="C49" s="514" t="s">
        <v>915</v>
      </c>
      <c r="D49" s="545"/>
      <c r="E49" s="61"/>
      <c r="F49" s="61"/>
      <c r="G49" s="229"/>
      <c r="H49" s="61"/>
      <c r="I49" s="61"/>
      <c r="J49" s="61"/>
      <c r="K49" s="146"/>
      <c r="L49" s="146"/>
      <c r="M49" s="146" t="s">
        <v>510</v>
      </c>
      <c r="N49" s="397"/>
      <c r="O49" s="232"/>
      <c r="P49" s="255"/>
      <c r="Q49" s="239"/>
      <c r="R49" s="239"/>
    </row>
    <row r="50" spans="1:18" s="13" customFormat="1" ht="23.25" customHeight="1">
      <c r="A50" s="231">
        <v>2420</v>
      </c>
      <c r="B50" s="82" t="s">
        <v>914</v>
      </c>
      <c r="C50" s="591" t="s">
        <v>916</v>
      </c>
      <c r="D50" s="592"/>
      <c r="E50" s="61"/>
      <c r="F50" s="61"/>
      <c r="G50" s="229"/>
      <c r="H50" s="61"/>
      <c r="I50" s="61"/>
      <c r="J50" s="61"/>
      <c r="K50" s="146"/>
      <c r="L50" s="146"/>
      <c r="M50" s="146" t="s">
        <v>510</v>
      </c>
      <c r="N50" s="397"/>
      <c r="O50" s="232"/>
      <c r="P50" s="255"/>
      <c r="Q50" s="239"/>
      <c r="R50" s="239"/>
    </row>
    <row r="51" spans="1:18" s="56" customFormat="1" ht="21">
      <c r="A51" s="231">
        <v>2430</v>
      </c>
      <c r="B51" s="82" t="s">
        <v>396</v>
      </c>
      <c r="C51" s="514" t="s">
        <v>401</v>
      </c>
      <c r="D51" s="545"/>
      <c r="E51" s="61"/>
      <c r="F51" s="61"/>
      <c r="G51" s="229"/>
      <c r="H51" s="61"/>
      <c r="I51" s="61"/>
      <c r="J51" s="61"/>
      <c r="K51" s="146"/>
      <c r="L51" s="146"/>
      <c r="M51" s="146" t="s">
        <v>510</v>
      </c>
      <c r="N51" s="397"/>
      <c r="O51" s="232"/>
      <c r="P51" s="255"/>
      <c r="Q51" s="239"/>
      <c r="R51" s="239"/>
    </row>
    <row r="52" spans="1:18" s="13" customFormat="1" ht="21">
      <c r="A52" s="632">
        <v>2440</v>
      </c>
      <c r="B52" s="599" t="s">
        <v>439</v>
      </c>
      <c r="C52" s="615" t="s">
        <v>491</v>
      </c>
      <c r="D52" s="476" t="s">
        <v>492</v>
      </c>
      <c r="E52" s="612"/>
      <c r="F52" s="612"/>
      <c r="G52" s="612"/>
      <c r="H52" s="612"/>
      <c r="I52" s="612"/>
      <c r="J52" s="612"/>
      <c r="K52" s="587"/>
      <c r="L52" s="587"/>
      <c r="M52" s="587" t="s">
        <v>510</v>
      </c>
      <c r="N52" s="617"/>
      <c r="O52" s="232"/>
      <c r="P52" s="619"/>
      <c r="Q52" s="558"/>
      <c r="R52" s="558"/>
    </row>
    <row r="53" spans="1:18" s="13" customFormat="1" ht="10.5">
      <c r="A53" s="633"/>
      <c r="B53" s="600"/>
      <c r="C53" s="616"/>
      <c r="D53" s="234"/>
      <c r="E53" s="613"/>
      <c r="F53" s="614"/>
      <c r="G53" s="614"/>
      <c r="H53" s="614"/>
      <c r="I53" s="614"/>
      <c r="J53" s="614"/>
      <c r="K53" s="588"/>
      <c r="L53" s="588"/>
      <c r="M53" s="588"/>
      <c r="N53" s="618"/>
      <c r="O53" s="232"/>
      <c r="P53" s="619"/>
      <c r="Q53" s="558"/>
      <c r="R53" s="558"/>
    </row>
    <row r="54" spans="1:18" s="13" customFormat="1" ht="21">
      <c r="A54" s="231">
        <v>2450</v>
      </c>
      <c r="B54" s="82" t="s">
        <v>62</v>
      </c>
      <c r="C54" s="514" t="s">
        <v>495</v>
      </c>
      <c r="D54" s="640"/>
      <c r="E54" s="61"/>
      <c r="F54" s="61"/>
      <c r="G54" s="190"/>
      <c r="H54" s="61"/>
      <c r="I54" s="61"/>
      <c r="J54" s="61"/>
      <c r="K54" s="146"/>
      <c r="L54" s="146"/>
      <c r="M54" s="146" t="s">
        <v>510</v>
      </c>
      <c r="N54" s="397"/>
      <c r="O54" s="232"/>
      <c r="P54" s="255"/>
      <c r="Q54" s="239"/>
      <c r="R54" s="239"/>
    </row>
    <row r="55" spans="1:18" s="13" customFormat="1" ht="21">
      <c r="A55" s="231">
        <v>2460</v>
      </c>
      <c r="B55" s="82" t="s">
        <v>449</v>
      </c>
      <c r="C55" s="514" t="s">
        <v>449</v>
      </c>
      <c r="D55" s="545"/>
      <c r="E55" s="61"/>
      <c r="F55" s="61"/>
      <c r="G55" s="61"/>
      <c r="H55" s="61"/>
      <c r="I55" s="61"/>
      <c r="J55" s="61"/>
      <c r="K55" s="146"/>
      <c r="L55" s="146"/>
      <c r="M55" s="146" t="s">
        <v>510</v>
      </c>
      <c r="N55" s="397"/>
      <c r="O55" s="232"/>
      <c r="P55" s="255"/>
      <c r="Q55" s="239"/>
      <c r="R55" s="239"/>
    </row>
    <row r="56" spans="1:18" s="13" customFormat="1" ht="21">
      <c r="A56" s="231">
        <v>2470</v>
      </c>
      <c r="B56" s="82" t="s">
        <v>493</v>
      </c>
      <c r="C56" s="514" t="s">
        <v>496</v>
      </c>
      <c r="D56" s="545"/>
      <c r="E56" s="61"/>
      <c r="F56" s="61"/>
      <c r="G56" s="61"/>
      <c r="H56" s="61"/>
      <c r="I56" s="61"/>
      <c r="J56" s="61"/>
      <c r="K56" s="146"/>
      <c r="L56" s="146"/>
      <c r="M56" s="146" t="s">
        <v>510</v>
      </c>
      <c r="N56" s="397"/>
      <c r="O56" s="232"/>
      <c r="P56" s="255"/>
      <c r="Q56" s="239"/>
      <c r="R56" s="239"/>
    </row>
    <row r="57" spans="1:18" s="13" customFormat="1" ht="21">
      <c r="A57" s="231">
        <v>2480</v>
      </c>
      <c r="B57" s="82" t="s">
        <v>494</v>
      </c>
      <c r="C57" s="514" t="s">
        <v>494</v>
      </c>
      <c r="D57" s="545"/>
      <c r="E57" s="61"/>
      <c r="F57" s="61"/>
      <c r="G57" s="61"/>
      <c r="H57" s="61"/>
      <c r="I57" s="61"/>
      <c r="J57" s="61"/>
      <c r="K57" s="146"/>
      <c r="L57" s="146"/>
      <c r="M57" s="146" t="s">
        <v>510</v>
      </c>
      <c r="N57" s="397"/>
      <c r="O57" s="232"/>
      <c r="P57" s="255"/>
      <c r="Q57" s="239"/>
      <c r="R57" s="239"/>
    </row>
    <row r="58" spans="1:19" s="13" customFormat="1" ht="21">
      <c r="A58" s="231">
        <v>2490</v>
      </c>
      <c r="B58" s="82" t="s">
        <v>394</v>
      </c>
      <c r="C58" s="514" t="s">
        <v>515</v>
      </c>
      <c r="D58" s="545"/>
      <c r="E58" s="61"/>
      <c r="F58" s="61"/>
      <c r="G58" s="61"/>
      <c r="H58" s="61"/>
      <c r="I58" s="61"/>
      <c r="J58" s="61"/>
      <c r="K58" s="146"/>
      <c r="L58" s="146"/>
      <c r="M58" s="146" t="s">
        <v>510</v>
      </c>
      <c r="N58" s="397"/>
      <c r="O58" s="232"/>
      <c r="P58" s="255"/>
      <c r="Q58" s="239"/>
      <c r="R58" s="239"/>
      <c r="S58" s="184"/>
    </row>
    <row r="59" spans="1:19" s="13" customFormat="1" ht="21" customHeight="1">
      <c r="A59" s="632">
        <v>2500</v>
      </c>
      <c r="B59" s="634" t="s">
        <v>46</v>
      </c>
      <c r="C59" s="307" t="s">
        <v>46</v>
      </c>
      <c r="D59" s="476" t="s">
        <v>492</v>
      </c>
      <c r="E59" s="620"/>
      <c r="F59" s="620"/>
      <c r="G59" s="620"/>
      <c r="H59" s="620"/>
      <c r="I59" s="620"/>
      <c r="J59" s="620"/>
      <c r="K59" s="587"/>
      <c r="L59" s="587"/>
      <c r="M59" s="587" t="s">
        <v>510</v>
      </c>
      <c r="N59" s="641"/>
      <c r="O59" s="235"/>
      <c r="P59" s="619"/>
      <c r="Q59" s="558"/>
      <c r="R59" s="558"/>
      <c r="S59" s="184"/>
    </row>
    <row r="60" spans="1:19" s="13" customFormat="1" ht="10.5">
      <c r="A60" s="633"/>
      <c r="B60" s="635"/>
      <c r="C60" s="253"/>
      <c r="D60" s="314"/>
      <c r="E60" s="621"/>
      <c r="F60" s="621"/>
      <c r="G60" s="621"/>
      <c r="H60" s="621"/>
      <c r="I60" s="621"/>
      <c r="J60" s="621"/>
      <c r="K60" s="588"/>
      <c r="L60" s="588"/>
      <c r="M60" s="588"/>
      <c r="N60" s="642"/>
      <c r="O60" s="235"/>
      <c r="P60" s="619"/>
      <c r="Q60" s="558"/>
      <c r="R60" s="558"/>
      <c r="S60" s="184"/>
    </row>
    <row r="61" spans="1:19" s="13" customFormat="1" ht="21" customHeight="1">
      <c r="A61" s="632">
        <v>2510</v>
      </c>
      <c r="B61" s="634" t="s">
        <v>1479</v>
      </c>
      <c r="C61" s="599" t="s">
        <v>1478</v>
      </c>
      <c r="D61" s="476" t="s">
        <v>492</v>
      </c>
      <c r="E61" s="620"/>
      <c r="F61" s="620"/>
      <c r="G61" s="620"/>
      <c r="H61" s="620"/>
      <c r="I61" s="620"/>
      <c r="J61" s="620"/>
      <c r="K61" s="587"/>
      <c r="L61" s="587"/>
      <c r="M61" s="587" t="s">
        <v>510</v>
      </c>
      <c r="N61" s="622" t="s">
        <v>1521</v>
      </c>
      <c r="O61" s="235"/>
      <c r="P61" s="619"/>
      <c r="Q61" s="558"/>
      <c r="R61" s="558"/>
      <c r="S61" s="184"/>
    </row>
    <row r="62" spans="1:19" s="13" customFormat="1" ht="76.5" customHeight="1">
      <c r="A62" s="633"/>
      <c r="B62" s="635"/>
      <c r="C62" s="600"/>
      <c r="D62" s="314"/>
      <c r="E62" s="621"/>
      <c r="F62" s="621"/>
      <c r="G62" s="621"/>
      <c r="H62" s="621"/>
      <c r="I62" s="621"/>
      <c r="J62" s="621"/>
      <c r="K62" s="588"/>
      <c r="L62" s="588"/>
      <c r="M62" s="588"/>
      <c r="N62" s="623"/>
      <c r="O62" s="235"/>
      <c r="P62" s="619"/>
      <c r="Q62" s="558"/>
      <c r="R62" s="558"/>
      <c r="S62" s="184"/>
    </row>
    <row r="63" spans="1:19" s="13" customFormat="1" ht="24" customHeight="1">
      <c r="A63" s="385">
        <v>2520</v>
      </c>
      <c r="B63" s="253" t="s">
        <v>917</v>
      </c>
      <c r="C63" s="591" t="s">
        <v>918</v>
      </c>
      <c r="D63" s="592"/>
      <c r="E63" s="191"/>
      <c r="F63" s="191"/>
      <c r="G63" s="191"/>
      <c r="H63" s="191"/>
      <c r="I63" s="191"/>
      <c r="J63" s="191"/>
      <c r="K63" s="384"/>
      <c r="L63" s="384"/>
      <c r="M63" s="146" t="s">
        <v>510</v>
      </c>
      <c r="N63" s="400"/>
      <c r="O63" s="235"/>
      <c r="P63" s="255"/>
      <c r="Q63" s="239"/>
      <c r="R63" s="239"/>
      <c r="S63" s="184"/>
    </row>
    <row r="64" spans="1:19" s="13" customFormat="1" ht="21">
      <c r="A64" s="231">
        <v>2530</v>
      </c>
      <c r="B64" s="82" t="s">
        <v>63</v>
      </c>
      <c r="C64" s="514" t="s">
        <v>497</v>
      </c>
      <c r="D64" s="545"/>
      <c r="E64" s="61"/>
      <c r="F64" s="61"/>
      <c r="G64" s="61"/>
      <c r="H64" s="61"/>
      <c r="I64" s="61"/>
      <c r="J64" s="61"/>
      <c r="K64" s="146"/>
      <c r="L64" s="146"/>
      <c r="M64" s="146" t="s">
        <v>510</v>
      </c>
      <c r="N64" s="397"/>
      <c r="O64" s="232"/>
      <c r="P64" s="255"/>
      <c r="Q64" s="239"/>
      <c r="R64" s="239"/>
      <c r="S64" s="184"/>
    </row>
    <row r="65" spans="1:19" ht="30" customHeight="1">
      <c r="A65" s="55" t="s">
        <v>1434</v>
      </c>
      <c r="B65" s="56"/>
      <c r="C65" s="56"/>
      <c r="D65" s="57"/>
      <c r="E65" s="58"/>
      <c r="F65" s="58"/>
      <c r="G65" s="58"/>
      <c r="H65" s="58"/>
      <c r="I65" s="58"/>
      <c r="J65" s="58"/>
      <c r="K65" s="58"/>
      <c r="L65" s="58"/>
      <c r="M65" s="58"/>
      <c r="N65" s="402"/>
      <c r="O65" s="263"/>
      <c r="P65" s="586"/>
      <c r="Q65" s="585"/>
      <c r="R65" s="586"/>
      <c r="S65" s="5"/>
    </row>
    <row r="66" spans="1:19" ht="18.75" customHeight="1">
      <c r="A66" s="18">
        <v>2540</v>
      </c>
      <c r="B66" s="73"/>
      <c r="C66" s="624"/>
      <c r="D66" s="625"/>
      <c r="E66" s="34"/>
      <c r="F66" s="34"/>
      <c r="G66" s="34"/>
      <c r="H66" s="34"/>
      <c r="I66" s="34"/>
      <c r="J66" s="34"/>
      <c r="K66" s="129"/>
      <c r="L66" s="129"/>
      <c r="M66" s="146" t="s">
        <v>510</v>
      </c>
      <c r="N66" s="397"/>
      <c r="O66" s="263"/>
      <c r="P66" s="586"/>
      <c r="Q66" s="585"/>
      <c r="R66" s="586"/>
      <c r="S66" s="5"/>
    </row>
    <row r="67" spans="1:19" ht="24" customHeight="1">
      <c r="A67" s="18">
        <v>2550</v>
      </c>
      <c r="B67" s="73"/>
      <c r="C67" s="624"/>
      <c r="D67" s="625"/>
      <c r="E67" s="34"/>
      <c r="F67" s="34"/>
      <c r="G67" s="34"/>
      <c r="H67" s="34"/>
      <c r="I67" s="34"/>
      <c r="J67" s="34"/>
      <c r="K67" s="129"/>
      <c r="L67" s="129"/>
      <c r="M67" s="146" t="s">
        <v>510</v>
      </c>
      <c r="N67" s="397"/>
      <c r="O67" s="263"/>
      <c r="P67" s="586"/>
      <c r="Q67" s="394"/>
      <c r="R67" s="586"/>
      <c r="S67" s="5"/>
    </row>
    <row r="68" spans="1:19" ht="21">
      <c r="A68" s="18">
        <v>2560</v>
      </c>
      <c r="B68" s="73"/>
      <c r="C68" s="624"/>
      <c r="D68" s="625"/>
      <c r="E68" s="34"/>
      <c r="F68" s="34"/>
      <c r="G68" s="34"/>
      <c r="H68" s="34"/>
      <c r="I68" s="34"/>
      <c r="J68" s="34"/>
      <c r="K68" s="129"/>
      <c r="L68" s="129"/>
      <c r="M68" s="146" t="s">
        <v>510</v>
      </c>
      <c r="N68" s="397"/>
      <c r="P68" s="255"/>
      <c r="Q68" s="239"/>
      <c r="R68" s="209"/>
      <c r="S68" s="5"/>
    </row>
    <row r="69" spans="1:18" ht="21">
      <c r="A69" s="18">
        <v>2570</v>
      </c>
      <c r="B69" s="73"/>
      <c r="C69" s="624"/>
      <c r="D69" s="625"/>
      <c r="E69" s="34"/>
      <c r="F69" s="34"/>
      <c r="G69" s="34"/>
      <c r="H69" s="34"/>
      <c r="I69" s="34"/>
      <c r="J69" s="34"/>
      <c r="K69" s="129"/>
      <c r="L69" s="129"/>
      <c r="M69" s="146" t="s">
        <v>510</v>
      </c>
      <c r="N69" s="397"/>
      <c r="P69" s="255"/>
      <c r="Q69" s="239"/>
      <c r="R69" s="209"/>
    </row>
    <row r="70" spans="1:18" s="57" customFormat="1" ht="21">
      <c r="A70" s="18">
        <v>2580</v>
      </c>
      <c r="B70" s="73"/>
      <c r="C70" s="624"/>
      <c r="D70" s="625"/>
      <c r="E70" s="34"/>
      <c r="F70" s="34"/>
      <c r="G70" s="34"/>
      <c r="H70" s="34"/>
      <c r="I70" s="34"/>
      <c r="J70" s="34"/>
      <c r="K70" s="129"/>
      <c r="L70" s="129"/>
      <c r="M70" s="146" t="s">
        <v>510</v>
      </c>
      <c r="N70" s="397"/>
      <c r="O70" s="12"/>
      <c r="P70" s="255"/>
      <c r="Q70" s="239"/>
      <c r="R70" s="209"/>
    </row>
    <row r="71" spans="1:18" ht="21">
      <c r="A71" s="18">
        <v>2590</v>
      </c>
      <c r="B71" s="73"/>
      <c r="C71" s="624"/>
      <c r="D71" s="625"/>
      <c r="E71" s="34"/>
      <c r="F71" s="34"/>
      <c r="G71" s="34"/>
      <c r="H71" s="34"/>
      <c r="I71" s="34"/>
      <c r="J71" s="34"/>
      <c r="K71" s="129"/>
      <c r="L71" s="129"/>
      <c r="M71" s="146" t="s">
        <v>510</v>
      </c>
      <c r="N71" s="397"/>
      <c r="O71" s="58"/>
      <c r="P71" s="255"/>
      <c r="Q71" s="387"/>
      <c r="R71" s="209"/>
    </row>
    <row r="72" spans="1:18" ht="21">
      <c r="A72" s="18">
        <v>2600</v>
      </c>
      <c r="B72" s="194"/>
      <c r="C72" s="636"/>
      <c r="D72" s="637"/>
      <c r="E72" s="78"/>
      <c r="F72" s="78"/>
      <c r="G72" s="78"/>
      <c r="H72" s="78"/>
      <c r="I72" s="78"/>
      <c r="J72" s="78"/>
      <c r="K72" s="129"/>
      <c r="L72" s="129"/>
      <c r="M72" s="146" t="s">
        <v>510</v>
      </c>
      <c r="N72" s="399"/>
      <c r="P72" s="255"/>
      <c r="Q72" s="239"/>
      <c r="R72" s="209"/>
    </row>
    <row r="73" spans="1:18" ht="21">
      <c r="A73" s="18">
        <v>2610</v>
      </c>
      <c r="B73" s="73"/>
      <c r="C73" s="624"/>
      <c r="D73" s="625"/>
      <c r="E73" s="34"/>
      <c r="F73" s="34"/>
      <c r="G73" s="34"/>
      <c r="H73" s="34"/>
      <c r="I73" s="34"/>
      <c r="J73" s="34"/>
      <c r="K73" s="129"/>
      <c r="L73" s="129"/>
      <c r="M73" s="146" t="s">
        <v>510</v>
      </c>
      <c r="N73" s="397"/>
      <c r="P73" s="255"/>
      <c r="Q73" s="239"/>
      <c r="R73" s="209"/>
    </row>
    <row r="74" spans="1:18" ht="21.75" thickBot="1">
      <c r="A74" s="19">
        <v>2620</v>
      </c>
      <c r="B74" s="74"/>
      <c r="C74" s="630"/>
      <c r="D74" s="631"/>
      <c r="E74" s="35"/>
      <c r="F74" s="35"/>
      <c r="G74" s="35"/>
      <c r="H74" s="35"/>
      <c r="I74" s="35"/>
      <c r="J74" s="35"/>
      <c r="K74" s="130"/>
      <c r="L74" s="130"/>
      <c r="M74" s="147" t="s">
        <v>510</v>
      </c>
      <c r="N74" s="401"/>
      <c r="P74" s="255"/>
      <c r="Q74" s="239"/>
      <c r="R74" s="209"/>
    </row>
    <row r="75" spans="1:18" ht="11.25" thickBot="1">
      <c r="A75" s="81"/>
      <c r="B75" s="227"/>
      <c r="C75" s="227"/>
      <c r="D75" s="227"/>
      <c r="E75" s="254"/>
      <c r="F75" s="254"/>
      <c r="G75" s="254"/>
      <c r="H75" s="254"/>
      <c r="I75" s="254"/>
      <c r="J75" s="254"/>
      <c r="K75" s="209"/>
      <c r="L75" s="209"/>
      <c r="M75" s="239"/>
      <c r="N75" s="255"/>
      <c r="P75" s="255"/>
      <c r="Q75" s="239"/>
      <c r="R75" s="209"/>
    </row>
    <row r="76" spans="1:18" ht="45" customHeight="1">
      <c r="A76" s="198"/>
      <c r="B76" s="643" t="s">
        <v>883</v>
      </c>
      <c r="C76" s="644"/>
      <c r="D76" s="644"/>
      <c r="E76" s="644"/>
      <c r="F76" s="644"/>
      <c r="G76" s="644"/>
      <c r="H76" s="644"/>
      <c r="I76" s="644"/>
      <c r="J76" s="644"/>
      <c r="K76" s="644"/>
      <c r="L76" s="644"/>
      <c r="M76" s="645"/>
      <c r="N76" s="475" t="s">
        <v>16</v>
      </c>
      <c r="P76" s="255"/>
      <c r="Q76" s="239"/>
      <c r="R76" s="209"/>
    </row>
    <row r="77" spans="1:18" ht="37.5" customHeight="1">
      <c r="A77" s="18">
        <v>2630</v>
      </c>
      <c r="B77" s="646" t="s">
        <v>987</v>
      </c>
      <c r="C77" s="647"/>
      <c r="D77" s="647"/>
      <c r="E77" s="647"/>
      <c r="F77" s="647"/>
      <c r="G77" s="647"/>
      <c r="H77" s="647"/>
      <c r="I77" s="647"/>
      <c r="J77" s="647"/>
      <c r="K77" s="647"/>
      <c r="L77" s="344" t="str">
        <f>HYPERLINK(CONCATENATE(Filename,"Ins2630"),"(instructions)")</f>
        <v>(instructions)</v>
      </c>
      <c r="M77" s="200"/>
      <c r="N77" s="395"/>
      <c r="P77" s="255"/>
      <c r="Q77" s="239"/>
      <c r="R77" s="209"/>
    </row>
    <row r="78" spans="1:18" ht="42.75" customHeight="1">
      <c r="A78" s="18">
        <v>2640</v>
      </c>
      <c r="B78" s="646" t="s">
        <v>988</v>
      </c>
      <c r="C78" s="647"/>
      <c r="D78" s="647"/>
      <c r="E78" s="647"/>
      <c r="F78" s="647"/>
      <c r="G78" s="647"/>
      <c r="H78" s="647"/>
      <c r="I78" s="647"/>
      <c r="J78" s="647"/>
      <c r="K78" s="647"/>
      <c r="L78" s="344" t="str">
        <f>HYPERLINK(CONCATENATE(Filename,"Ins2640"),"(instructions)")</f>
        <v>(instructions)</v>
      </c>
      <c r="M78" s="73"/>
      <c r="N78" s="395"/>
      <c r="P78" s="255"/>
      <c r="Q78" s="239"/>
      <c r="R78" s="209"/>
    </row>
    <row r="79" spans="1:18" ht="21">
      <c r="A79" s="559">
        <v>2650</v>
      </c>
      <c r="B79" s="638" t="s">
        <v>833</v>
      </c>
      <c r="C79" s="639"/>
      <c r="D79" s="639"/>
      <c r="E79" s="578" t="s">
        <v>834</v>
      </c>
      <c r="F79" s="579"/>
      <c r="G79" s="579"/>
      <c r="H79" s="579"/>
      <c r="I79" s="579"/>
      <c r="J79" s="579"/>
      <c r="K79" s="579"/>
      <c r="L79" s="580"/>
      <c r="M79" s="145" t="s">
        <v>510</v>
      </c>
      <c r="N79" s="395"/>
      <c r="P79" s="255"/>
      <c r="Q79" s="239"/>
      <c r="R79" s="209"/>
    </row>
    <row r="80" spans="1:18" ht="21">
      <c r="A80" s="561"/>
      <c r="B80" s="648"/>
      <c r="C80" s="649"/>
      <c r="D80" s="649"/>
      <c r="E80" s="646" t="s">
        <v>876</v>
      </c>
      <c r="F80" s="647"/>
      <c r="G80" s="647"/>
      <c r="H80" s="647"/>
      <c r="I80" s="647"/>
      <c r="J80" s="647"/>
      <c r="K80" s="647"/>
      <c r="L80" s="652"/>
      <c r="M80" s="145" t="s">
        <v>510</v>
      </c>
      <c r="N80" s="395"/>
      <c r="O80" s="396"/>
      <c r="P80" s="255"/>
      <c r="Q80" s="239"/>
      <c r="R80" s="209"/>
    </row>
    <row r="81" spans="1:18" s="79" customFormat="1" ht="21">
      <c r="A81" s="561"/>
      <c r="B81" s="648"/>
      <c r="C81" s="649"/>
      <c r="D81" s="649"/>
      <c r="E81" s="646" t="s">
        <v>877</v>
      </c>
      <c r="F81" s="647"/>
      <c r="G81" s="647"/>
      <c r="H81" s="647"/>
      <c r="I81" s="647"/>
      <c r="J81" s="647"/>
      <c r="K81" s="647"/>
      <c r="L81" s="652"/>
      <c r="M81" s="145" t="s">
        <v>510</v>
      </c>
      <c r="N81" s="395"/>
      <c r="O81" s="209"/>
      <c r="P81" s="255"/>
      <c r="Q81" s="239"/>
      <c r="R81" s="209"/>
    </row>
    <row r="82" spans="1:18" s="79" customFormat="1" ht="27" customHeight="1">
      <c r="A82" s="562"/>
      <c r="B82" s="650" t="str">
        <f>HYPERLINK(CONCATENATE(Filename,"Ins2650"),"(instructions)")</f>
        <v>(instructions)</v>
      </c>
      <c r="C82" s="651"/>
      <c r="D82" s="651"/>
      <c r="E82" s="578" t="s">
        <v>878</v>
      </c>
      <c r="F82" s="579"/>
      <c r="G82" s="579"/>
      <c r="H82" s="579"/>
      <c r="I82" s="579"/>
      <c r="J82" s="579"/>
      <c r="K82" s="579"/>
      <c r="L82" s="580"/>
      <c r="M82" s="145" t="s">
        <v>510</v>
      </c>
      <c r="N82" s="395"/>
      <c r="O82" s="390"/>
      <c r="P82" s="391"/>
      <c r="R82" s="391"/>
    </row>
    <row r="83" spans="1:20" s="79" customFormat="1" ht="35.25" customHeight="1">
      <c r="A83" s="559">
        <v>2660</v>
      </c>
      <c r="B83" s="638" t="s">
        <v>835</v>
      </c>
      <c r="C83" s="639"/>
      <c r="D83" s="639"/>
      <c r="E83" s="578" t="s">
        <v>834</v>
      </c>
      <c r="F83" s="579"/>
      <c r="G83" s="579"/>
      <c r="H83" s="579"/>
      <c r="I83" s="579"/>
      <c r="J83" s="579"/>
      <c r="K83" s="579"/>
      <c r="L83" s="580"/>
      <c r="M83" s="145" t="s">
        <v>510</v>
      </c>
      <c r="N83" s="392"/>
      <c r="O83" s="210"/>
      <c r="P83" s="210"/>
      <c r="Q83" s="558"/>
      <c r="R83" s="558"/>
      <c r="S83" s="210"/>
      <c r="T83" s="210"/>
    </row>
    <row r="84" spans="1:18" s="79" customFormat="1" ht="35.25" customHeight="1" thickBot="1">
      <c r="A84" s="560"/>
      <c r="B84" s="563" t="str">
        <f>HYPERLINK(CONCATENATE(Filename,"Ins2660"),"(instructions)")</f>
        <v>(instructions)</v>
      </c>
      <c r="C84" s="564"/>
      <c r="D84" s="564"/>
      <c r="E84" s="574" t="s">
        <v>878</v>
      </c>
      <c r="F84" s="575"/>
      <c r="G84" s="575"/>
      <c r="H84" s="575"/>
      <c r="I84" s="575"/>
      <c r="J84" s="575"/>
      <c r="K84" s="575"/>
      <c r="L84" s="576"/>
      <c r="M84" s="313" t="s">
        <v>510</v>
      </c>
      <c r="N84" s="393"/>
      <c r="O84" s="577"/>
      <c r="P84" s="577"/>
      <c r="Q84" s="558"/>
      <c r="R84" s="558"/>
    </row>
    <row r="85" spans="1:18" s="79" customFormat="1" ht="24.75" customHeight="1">
      <c r="A85" s="81"/>
      <c r="B85" s="227"/>
      <c r="C85" s="227"/>
      <c r="D85" s="227"/>
      <c r="E85" s="254"/>
      <c r="F85" s="254"/>
      <c r="G85" s="254"/>
      <c r="H85" s="254"/>
      <c r="I85" s="254"/>
      <c r="J85" s="254"/>
      <c r="K85" s="209"/>
      <c r="L85" s="209"/>
      <c r="M85" s="239"/>
      <c r="N85" s="255"/>
      <c r="Q85" s="558"/>
      <c r="R85" s="558"/>
    </row>
    <row r="86" spans="1:18" s="79" customFormat="1" ht="23.25" customHeight="1" thickBot="1">
      <c r="A86" s="81"/>
      <c r="B86" s="227"/>
      <c r="C86" s="227"/>
      <c r="D86" s="227"/>
      <c r="E86" s="254"/>
      <c r="F86" s="254"/>
      <c r="G86" s="254"/>
      <c r="H86" s="254"/>
      <c r="I86" s="254"/>
      <c r="J86" s="254"/>
      <c r="K86" s="209"/>
      <c r="L86" s="209"/>
      <c r="M86" s="239"/>
      <c r="N86" s="255"/>
      <c r="Q86" s="558"/>
      <c r="R86" s="558"/>
    </row>
    <row r="87" spans="1:18" s="79" customFormat="1" ht="20.25" customHeight="1">
      <c r="A87" s="626">
        <v>2670</v>
      </c>
      <c r="B87" s="627" t="s">
        <v>190</v>
      </c>
      <c r="C87" s="565"/>
      <c r="D87" s="566"/>
      <c r="E87" s="566"/>
      <c r="F87" s="566"/>
      <c r="G87" s="566"/>
      <c r="H87" s="566"/>
      <c r="I87" s="566"/>
      <c r="J87" s="566"/>
      <c r="K87" s="566"/>
      <c r="L87" s="566"/>
      <c r="M87" s="566"/>
      <c r="N87" s="567"/>
      <c r="Q87" s="558"/>
      <c r="R87" s="558"/>
    </row>
    <row r="88" spans="1:18" s="79" customFormat="1" ht="21.75" customHeight="1">
      <c r="A88" s="561"/>
      <c r="B88" s="628"/>
      <c r="C88" s="568"/>
      <c r="D88" s="569"/>
      <c r="E88" s="569"/>
      <c r="F88" s="569"/>
      <c r="G88" s="569"/>
      <c r="H88" s="569"/>
      <c r="I88" s="569"/>
      <c r="J88" s="569"/>
      <c r="K88" s="569"/>
      <c r="L88" s="569"/>
      <c r="M88" s="569"/>
      <c r="N88" s="570"/>
      <c r="Q88" s="558"/>
      <c r="R88" s="558"/>
    </row>
    <row r="89" spans="1:18" s="79" customFormat="1" ht="27.75" customHeight="1" thickBot="1">
      <c r="A89" s="560"/>
      <c r="B89" s="629"/>
      <c r="C89" s="571"/>
      <c r="D89" s="572"/>
      <c r="E89" s="572"/>
      <c r="F89" s="572"/>
      <c r="G89" s="572"/>
      <c r="H89" s="572"/>
      <c r="I89" s="572"/>
      <c r="J89" s="572"/>
      <c r="K89" s="572"/>
      <c r="L89" s="572"/>
      <c r="M89" s="572"/>
      <c r="N89" s="573"/>
      <c r="Q89" s="558"/>
      <c r="R89" s="558"/>
    </row>
    <row r="90" spans="1:18" s="79" customFormat="1" ht="30.75" customHeight="1">
      <c r="A90" s="209"/>
      <c r="B90" s="209"/>
      <c r="C90" s="210"/>
      <c r="D90" s="210"/>
      <c r="E90" s="210"/>
      <c r="F90" s="210"/>
      <c r="G90" s="210"/>
      <c r="H90" s="210"/>
      <c r="I90" s="210"/>
      <c r="J90" s="210"/>
      <c r="K90" s="210"/>
      <c r="L90" s="210"/>
      <c r="M90" s="210"/>
      <c r="N90" s="210"/>
      <c r="Q90" s="558"/>
      <c r="R90" s="558"/>
    </row>
    <row r="91" spans="1:18" s="79" customFormat="1" ht="10.5">
      <c r="A91" s="13"/>
      <c r="B91" s="13"/>
      <c r="C91" s="2"/>
      <c r="D91" s="12"/>
      <c r="E91" s="12"/>
      <c r="F91" s="12"/>
      <c r="G91" s="12"/>
      <c r="H91" s="12"/>
      <c r="I91" s="12"/>
      <c r="J91" s="12"/>
      <c r="K91" s="12"/>
      <c r="L91" s="12"/>
      <c r="M91" s="12"/>
      <c r="N91" s="150" t="str">
        <f>HYPERLINK(Filename&amp;"page2B","page suivante")</f>
        <v>page suivante</v>
      </c>
      <c r="O91" s="209"/>
      <c r="P91" s="255"/>
      <c r="Q91" s="239"/>
      <c r="R91" s="209"/>
    </row>
    <row r="92" spans="1:18" s="79" customFormat="1" ht="10.5">
      <c r="A92" s="13"/>
      <c r="B92" s="13"/>
      <c r="C92" s="2"/>
      <c r="D92" s="12"/>
      <c r="E92" s="12"/>
      <c r="F92" s="12"/>
      <c r="G92" s="12"/>
      <c r="H92" s="12"/>
      <c r="I92" s="12"/>
      <c r="J92" s="12"/>
      <c r="K92" s="12"/>
      <c r="L92" s="12"/>
      <c r="M92" s="12"/>
      <c r="N92" s="12"/>
      <c r="O92" s="209"/>
      <c r="P92" s="255"/>
      <c r="Q92" s="239"/>
      <c r="R92" s="209"/>
    </row>
    <row r="93" spans="1:18" s="79" customFormat="1" ht="12.75" customHeight="1">
      <c r="A93" s="13"/>
      <c r="B93" s="13"/>
      <c r="C93" s="2"/>
      <c r="D93" s="12"/>
      <c r="E93" s="12"/>
      <c r="F93" s="12"/>
      <c r="G93" s="12"/>
      <c r="H93" s="12"/>
      <c r="I93" s="12"/>
      <c r="J93" s="12"/>
      <c r="K93" s="12"/>
      <c r="L93" s="12"/>
      <c r="M93" s="12"/>
      <c r="N93" s="12"/>
      <c r="O93" s="210"/>
      <c r="P93" s="210"/>
      <c r="Q93" s="210"/>
      <c r="R93" s="210"/>
    </row>
    <row r="94" spans="1:18" s="79" customFormat="1" ht="12.75" customHeight="1">
      <c r="A94" s="13"/>
      <c r="B94" s="13"/>
      <c r="C94" s="2"/>
      <c r="D94" s="12"/>
      <c r="E94" s="12"/>
      <c r="F94" s="12"/>
      <c r="G94" s="12"/>
      <c r="H94" s="12"/>
      <c r="I94" s="12"/>
      <c r="J94" s="12"/>
      <c r="K94" s="12"/>
      <c r="L94" s="12"/>
      <c r="M94" s="12"/>
      <c r="N94" s="12"/>
      <c r="O94" s="210"/>
      <c r="P94" s="210"/>
      <c r="Q94" s="210"/>
      <c r="R94" s="210"/>
    </row>
    <row r="95" spans="15:19" ht="13.5" customHeight="1">
      <c r="O95" s="210"/>
      <c r="P95" s="210"/>
      <c r="Q95" s="210"/>
      <c r="R95" s="210"/>
      <c r="S95" s="4"/>
    </row>
    <row r="96" spans="1:18" s="5" customFormat="1" ht="10.5">
      <c r="A96" s="13"/>
      <c r="B96" s="13"/>
      <c r="C96" s="2"/>
      <c r="D96" s="12"/>
      <c r="E96" s="12"/>
      <c r="F96" s="12"/>
      <c r="G96" s="12"/>
      <c r="H96" s="12"/>
      <c r="I96" s="12"/>
      <c r="J96" s="12"/>
      <c r="K96" s="12"/>
      <c r="L96" s="12"/>
      <c r="M96" s="12"/>
      <c r="N96" s="12"/>
      <c r="O96" s="210"/>
      <c r="P96" s="210"/>
      <c r="Q96" s="210"/>
      <c r="R96" s="210"/>
    </row>
  </sheetData>
  <sheetProtection password="FCD9" sheet="1" selectLockedCells="1"/>
  <mergeCells count="138">
    <mergeCell ref="B76:M76"/>
    <mergeCell ref="B78:K78"/>
    <mergeCell ref="B79:D81"/>
    <mergeCell ref="B82:D82"/>
    <mergeCell ref="E79:L79"/>
    <mergeCell ref="E80:L80"/>
    <mergeCell ref="E81:L81"/>
    <mergeCell ref="E82:L82"/>
    <mergeCell ref="B77:K77"/>
    <mergeCell ref="Q61:Q62"/>
    <mergeCell ref="L61:L62"/>
    <mergeCell ref="L59:L60"/>
    <mergeCell ref="M59:M60"/>
    <mergeCell ref="N59:N60"/>
    <mergeCell ref="P59:P60"/>
    <mergeCell ref="Q59:Q60"/>
    <mergeCell ref="A52:A53"/>
    <mergeCell ref="K52:K53"/>
    <mergeCell ref="E61:E62"/>
    <mergeCell ref="F61:F62"/>
    <mergeCell ref="C58:D58"/>
    <mergeCell ref="C57:D57"/>
    <mergeCell ref="C54:D54"/>
    <mergeCell ref="J59:J60"/>
    <mergeCell ref="F59:F60"/>
    <mergeCell ref="E59:E60"/>
    <mergeCell ref="A87:A89"/>
    <mergeCell ref="B87:B89"/>
    <mergeCell ref="C74:D74"/>
    <mergeCell ref="A59:A60"/>
    <mergeCell ref="A61:A62"/>
    <mergeCell ref="B61:B62"/>
    <mergeCell ref="B59:B60"/>
    <mergeCell ref="C72:D72"/>
    <mergeCell ref="C73:D73"/>
    <mergeCell ref="B83:D83"/>
    <mergeCell ref="C70:D70"/>
    <mergeCell ref="C63:D63"/>
    <mergeCell ref="C71:D71"/>
    <mergeCell ref="C66:D66"/>
    <mergeCell ref="C67:D67"/>
    <mergeCell ref="C68:D68"/>
    <mergeCell ref="C69:D69"/>
    <mergeCell ref="G61:G62"/>
    <mergeCell ref="H61:H62"/>
    <mergeCell ref="J61:J62"/>
    <mergeCell ref="I59:I60"/>
    <mergeCell ref="I61:I62"/>
    <mergeCell ref="R61:R62"/>
    <mergeCell ref="K61:K62"/>
    <mergeCell ref="M61:M62"/>
    <mergeCell ref="N61:N62"/>
    <mergeCell ref="P61:P62"/>
    <mergeCell ref="L52:L53"/>
    <mergeCell ref="R59:R60"/>
    <mergeCell ref="G52:G53"/>
    <mergeCell ref="M52:M53"/>
    <mergeCell ref="G59:G60"/>
    <mergeCell ref="H59:H60"/>
    <mergeCell ref="C42:D42"/>
    <mergeCell ref="C43:D43"/>
    <mergeCell ref="C52:C53"/>
    <mergeCell ref="H52:H53"/>
    <mergeCell ref="R52:R53"/>
    <mergeCell ref="N52:N53"/>
    <mergeCell ref="P52:P53"/>
    <mergeCell ref="Q52:Q53"/>
    <mergeCell ref="J52:J53"/>
    <mergeCell ref="I52:I53"/>
    <mergeCell ref="E52:E53"/>
    <mergeCell ref="F52:F53"/>
    <mergeCell ref="C64:D64"/>
    <mergeCell ref="C56:D56"/>
    <mergeCell ref="C47:D47"/>
    <mergeCell ref="C48:D48"/>
    <mergeCell ref="C49:D49"/>
    <mergeCell ref="C51:D51"/>
    <mergeCell ref="C55:D55"/>
    <mergeCell ref="C61:C62"/>
    <mergeCell ref="O5:P5"/>
    <mergeCell ref="C24:D24"/>
    <mergeCell ref="C27:D27"/>
    <mergeCell ref="C29:D29"/>
    <mergeCell ref="C39:D39"/>
    <mergeCell ref="C34:D34"/>
    <mergeCell ref="C35:D35"/>
    <mergeCell ref="C31:D31"/>
    <mergeCell ref="C38:D38"/>
    <mergeCell ref="B52:B53"/>
    <mergeCell ref="Q6:Q7"/>
    <mergeCell ref="C28:D28"/>
    <mergeCell ref="C30:D30"/>
    <mergeCell ref="E7:J7"/>
    <mergeCell ref="C9:D9"/>
    <mergeCell ref="C25:D25"/>
    <mergeCell ref="M6:M7"/>
    <mergeCell ref="C21:D21"/>
    <mergeCell ref="B6:D8"/>
    <mergeCell ref="A3:N3"/>
    <mergeCell ref="N6:N7"/>
    <mergeCell ref="A2:N2"/>
    <mergeCell ref="C22:D22"/>
    <mergeCell ref="C44:D44"/>
    <mergeCell ref="C41:D41"/>
    <mergeCell ref="C32:D32"/>
    <mergeCell ref="C33:D33"/>
    <mergeCell ref="C23:D23"/>
    <mergeCell ref="C36:D36"/>
    <mergeCell ref="R6:R7"/>
    <mergeCell ref="E6:J6"/>
    <mergeCell ref="P6:P7"/>
    <mergeCell ref="C50:D50"/>
    <mergeCell ref="C19:D19"/>
    <mergeCell ref="C20:D20"/>
    <mergeCell ref="C37:D37"/>
    <mergeCell ref="C40:D40"/>
    <mergeCell ref="C46:D46"/>
    <mergeCell ref="C45:D45"/>
    <mergeCell ref="Q89:R89"/>
    <mergeCell ref="E83:L83"/>
    <mergeCell ref="Q86:R86"/>
    <mergeCell ref="Q87:R87"/>
    <mergeCell ref="Q88:R88"/>
    <mergeCell ref="K6:L7"/>
    <mergeCell ref="Q65:Q66"/>
    <mergeCell ref="R65:R67"/>
    <mergeCell ref="P65:P67"/>
    <mergeCell ref="K59:K60"/>
    <mergeCell ref="Q90:R90"/>
    <mergeCell ref="A83:A84"/>
    <mergeCell ref="Q85:R85"/>
    <mergeCell ref="A79:A82"/>
    <mergeCell ref="B84:D84"/>
    <mergeCell ref="C87:N89"/>
    <mergeCell ref="E84:L84"/>
    <mergeCell ref="Q83:R83"/>
    <mergeCell ref="O84:P84"/>
    <mergeCell ref="Q84:R84"/>
  </mergeCells>
  <dataValidations count="11">
    <dataValidation type="list" allowBlank="1" sqref="D10:D18 D26">
      <formula1>DDL_pick_cell_type</formula1>
    </dataValidation>
    <dataValidation errorStyle="warning" type="list" showErrorMessage="1" error="Vous avez saisi une réponse erronée." sqref="M9 M63:M64 M54:M59 M61 M85:M86 M66:M75">
      <formula1>DDL_geo_area</formula1>
    </dataValidation>
    <dataValidation type="list" allowBlank="1" showErrorMessage="1" error="Merci de choisir une année dans la liste" sqref="L9:L45 L47:L59 L61 L64 L66:L74">
      <formula1>DDL_vi_years</formula1>
    </dataValidation>
    <dataValidation type="list" allowBlank="1" showErrorMessage="1" error="Merci de choisir un mois dans la liste" sqref="K66:K73 K9:K59 K61 K64">
      <formula1>DDL_months</formula1>
    </dataValidation>
    <dataValidation type="list" allowBlank="1" showErrorMessage="1" error="Please pick a month from the list." sqref="K74:K75 K85:K86">
      <formula1>DDL_months</formula1>
    </dataValidation>
    <dataValidation type="list" allowBlank="1" showErrorMessage="1" error="Please pick a year from the list." sqref="L75 L85:L86">
      <formula1>DDL_vi_years</formula1>
    </dataValidation>
    <dataValidation errorStyle="warning" type="list" showErrorMessage="1" error="Vous avez saisi un réponse erronée." sqref="M10:M51">
      <formula1>DDL_geo_area</formula1>
    </dataValidation>
    <dataValidation errorStyle="warning" type="list" allowBlank="1" showInputMessage="1" showErrorMessage="1" error="Vous avez saisi un réponse erronée." sqref="M52:M53">
      <formula1>DDL_geo_area</formula1>
    </dataValidation>
    <dataValidation type="list" allowBlank="1" showErrorMessage="1" error="PMerci de choisir une année dans la liste" sqref="L46">
      <formula1>DDL_vi_years</formula1>
    </dataValidation>
    <dataValidation allowBlank="1" showInputMessage="1" showErrorMessage="1" prompt="Utiliser les lignes supplémentaires (2480 et suivantes) s'il y a plusieurs producteurs pour un même type de vaccin" sqref="P9:P64"/>
    <dataValidation type="list" allowBlank="1" showInputMessage="1" showErrorMessage="1" sqref="M79:M84">
      <formula1>DDL_yes_no_NR_ND</formula1>
    </dataValidation>
  </dataValidations>
  <printOptions/>
  <pageMargins left="0.2755905511811024" right="0.15748031496062992" top="0.7874015748031497" bottom="0.7874015748031497" header="0.5118110236220472" footer="0.5118110236220472"/>
  <pageSetup fitToHeight="3" fitToWidth="1" horizontalDpi="600" verticalDpi="600" orientation="landscape" scale="49" r:id="rId1"/>
  <headerFooter alignWithMargins="0">
    <oddFooter>&amp;L&amp;"Verdana,Regular"&amp;8OMS/UNICEF JRF données pour 2016
&amp;F&amp;R&amp;"Verdana,Regular"&amp;8Section &amp;A, pg. &amp;P</oddFooter>
  </headerFooter>
  <rowBreaks count="1" manualBreakCount="1">
    <brk id="27" max="255" man="1"/>
  </rowBreaks>
  <ignoredErrors>
    <ignoredError sqref="B4:B5"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S74"/>
  <sheetViews>
    <sheetView showGridLines="0" showRowColHeaders="0" zoomScale="85" zoomScaleNormal="85" zoomScalePageLayoutView="0" workbookViewId="0" topLeftCell="A1">
      <selection activeCell="B12" sqref="B12"/>
    </sheetView>
  </sheetViews>
  <sheetFormatPr defaultColWidth="9.140625" defaultRowHeight="12.75"/>
  <cols>
    <col min="1" max="1" width="9.140625" style="493" customWidth="1"/>
    <col min="2" max="2" width="17.421875" style="493" customWidth="1"/>
    <col min="3" max="3" width="14.57421875" style="493" customWidth="1"/>
    <col min="4" max="5" width="13.421875" style="493" customWidth="1"/>
    <col min="6" max="6" width="19.8515625" style="493" customWidth="1"/>
    <col min="7" max="7" width="17.00390625" style="493" customWidth="1"/>
    <col min="8" max="8" width="13.7109375" style="493" customWidth="1"/>
    <col min="9" max="9" width="17.57421875" style="493" customWidth="1"/>
    <col min="10" max="10" width="16.28125" style="493" customWidth="1"/>
    <col min="11" max="11" width="4.00390625" style="493" customWidth="1"/>
    <col min="12" max="12" width="11.8515625" style="493" customWidth="1"/>
    <col min="13" max="13" width="18.57421875" style="493" bestFit="1" customWidth="1"/>
    <col min="14" max="14" width="21.421875" style="493" bestFit="1" customWidth="1"/>
    <col min="15" max="15" width="19.421875" style="493" bestFit="1" customWidth="1"/>
    <col min="16" max="16" width="12.421875" style="493" customWidth="1"/>
    <col min="17" max="17" width="15.140625" style="493" customWidth="1"/>
    <col min="18" max="18" width="9.140625" style="493" customWidth="1"/>
    <col min="19" max="19" width="14.421875" style="493" customWidth="1"/>
    <col min="20" max="16384" width="9.140625" style="493" customWidth="1"/>
  </cols>
  <sheetData>
    <row r="1" spans="1:19" ht="19.5">
      <c r="A1" s="662" t="s">
        <v>919</v>
      </c>
      <c r="B1" s="662"/>
      <c r="C1" s="662"/>
      <c r="D1" s="662"/>
      <c r="E1" s="662"/>
      <c r="F1" s="662"/>
      <c r="G1" s="662"/>
      <c r="H1" s="662"/>
      <c r="I1" s="662"/>
      <c r="J1" s="662"/>
      <c r="K1" s="662"/>
      <c r="L1" s="662"/>
      <c r="M1" s="662"/>
      <c r="N1" s="662"/>
      <c r="O1" s="662"/>
      <c r="P1" s="662"/>
      <c r="Q1" s="662"/>
      <c r="R1" s="662"/>
      <c r="S1" s="662"/>
    </row>
    <row r="2" spans="1:19" ht="26.25" customHeight="1">
      <c r="A2" s="663" t="s">
        <v>1508</v>
      </c>
      <c r="B2" s="663"/>
      <c r="C2" s="663"/>
      <c r="D2" s="663"/>
      <c r="E2" s="663"/>
      <c r="F2" s="663"/>
      <c r="G2" s="663"/>
      <c r="H2" s="663"/>
      <c r="I2" s="663"/>
      <c r="J2" s="663"/>
      <c r="K2" s="663"/>
      <c r="L2" s="663"/>
      <c r="M2" s="663"/>
      <c r="N2" s="663"/>
      <c r="O2" s="663"/>
      <c r="P2" s="663"/>
      <c r="Q2" s="663"/>
      <c r="R2" s="663"/>
      <c r="S2" s="664"/>
    </row>
    <row r="3" spans="1:19" ht="123.75" customHeight="1">
      <c r="A3" s="663"/>
      <c r="B3" s="663"/>
      <c r="C3" s="663"/>
      <c r="D3" s="663"/>
      <c r="E3" s="663"/>
      <c r="F3" s="663"/>
      <c r="G3" s="663"/>
      <c r="H3" s="663"/>
      <c r="I3" s="663"/>
      <c r="J3" s="663"/>
      <c r="K3" s="663"/>
      <c r="L3" s="663"/>
      <c r="M3" s="663"/>
      <c r="N3" s="663"/>
      <c r="O3" s="663"/>
      <c r="P3" s="663"/>
      <c r="Q3" s="663"/>
      <c r="R3" s="663"/>
      <c r="S3" s="664"/>
    </row>
    <row r="4" spans="1:19" ht="12.75">
      <c r="A4" s="663"/>
      <c r="B4" s="663"/>
      <c r="C4" s="663"/>
      <c r="D4" s="663"/>
      <c r="E4" s="663"/>
      <c r="F4" s="663"/>
      <c r="G4" s="663"/>
      <c r="H4" s="663"/>
      <c r="I4" s="663"/>
      <c r="J4" s="663"/>
      <c r="K4" s="663"/>
      <c r="L4" s="663"/>
      <c r="M4" s="663"/>
      <c r="N4" s="663"/>
      <c r="O4" s="663"/>
      <c r="P4" s="663"/>
      <c r="Q4" s="663"/>
      <c r="R4" s="663"/>
      <c r="S4" s="664"/>
    </row>
    <row r="5" spans="1:19" ht="24" customHeight="1" thickBot="1">
      <c r="A5" s="663"/>
      <c r="B5" s="663"/>
      <c r="C5" s="663"/>
      <c r="D5" s="663"/>
      <c r="E5" s="663"/>
      <c r="F5" s="663"/>
      <c r="G5" s="663"/>
      <c r="H5" s="663"/>
      <c r="I5" s="663"/>
      <c r="J5" s="663"/>
      <c r="K5" s="663"/>
      <c r="L5" s="663"/>
      <c r="M5" s="663"/>
      <c r="N5" s="663"/>
      <c r="O5" s="663"/>
      <c r="P5" s="663"/>
      <c r="Q5" s="663"/>
      <c r="R5" s="663"/>
      <c r="S5" s="664"/>
    </row>
    <row r="6" spans="1:19" ht="19.5">
      <c r="A6" s="660" t="s">
        <v>1329</v>
      </c>
      <c r="B6" s="660"/>
      <c r="C6" s="660"/>
      <c r="D6" s="660"/>
      <c r="E6" s="660"/>
      <c r="F6" s="660"/>
      <c r="G6" s="660"/>
      <c r="H6" s="660"/>
      <c r="I6" s="660"/>
      <c r="J6" s="665"/>
      <c r="K6" s="407"/>
      <c r="L6" s="659" t="s">
        <v>1330</v>
      </c>
      <c r="M6" s="660"/>
      <c r="N6" s="660"/>
      <c r="O6" s="660"/>
      <c r="P6" s="660"/>
      <c r="Q6" s="660"/>
      <c r="R6" s="660"/>
      <c r="S6" s="661"/>
    </row>
    <row r="7" spans="1:19" ht="93" customHeight="1">
      <c r="A7" s="655" t="s">
        <v>1509</v>
      </c>
      <c r="B7" s="655"/>
      <c r="C7" s="655"/>
      <c r="D7" s="655"/>
      <c r="E7" s="655"/>
      <c r="F7" s="655"/>
      <c r="G7" s="655"/>
      <c r="H7" s="655"/>
      <c r="I7" s="655"/>
      <c r="J7" s="656"/>
      <c r="K7" s="407"/>
      <c r="L7" s="657" t="s">
        <v>1510</v>
      </c>
      <c r="M7" s="655"/>
      <c r="N7" s="655"/>
      <c r="O7" s="655"/>
      <c r="P7" s="655"/>
      <c r="Q7" s="655"/>
      <c r="R7" s="655"/>
      <c r="S7" s="658"/>
    </row>
    <row r="8" spans="1:19" ht="13.5" thickBot="1">
      <c r="A8" s="407"/>
      <c r="B8" s="404"/>
      <c r="C8" s="404"/>
      <c r="D8" s="404"/>
      <c r="E8" s="404"/>
      <c r="F8" s="407"/>
      <c r="G8" s="407"/>
      <c r="H8" s="404"/>
      <c r="I8" s="404"/>
      <c r="J8" s="407"/>
      <c r="K8" s="404"/>
      <c r="L8" s="404"/>
      <c r="M8" s="404"/>
      <c r="N8" s="404"/>
      <c r="O8" s="404"/>
      <c r="P8" s="407"/>
      <c r="Q8" s="404"/>
      <c r="R8" s="407"/>
      <c r="S8" s="407"/>
    </row>
    <row r="9" spans="1:19" ht="60" customHeight="1">
      <c r="A9" s="418"/>
      <c r="B9" s="653" t="s">
        <v>1331</v>
      </c>
      <c r="C9" s="653" t="s">
        <v>1332</v>
      </c>
      <c r="D9" s="653" t="s">
        <v>1511</v>
      </c>
      <c r="E9" s="653" t="s">
        <v>1340</v>
      </c>
      <c r="F9" s="653" t="s">
        <v>1335</v>
      </c>
      <c r="G9" s="653" t="s">
        <v>1337</v>
      </c>
      <c r="H9" s="653" t="s">
        <v>1341</v>
      </c>
      <c r="I9" s="653" t="s">
        <v>1342</v>
      </c>
      <c r="J9" s="653" t="s">
        <v>1344</v>
      </c>
      <c r="K9" s="386"/>
      <c r="L9" s="653" t="s">
        <v>1346</v>
      </c>
      <c r="M9" s="653" t="s">
        <v>1348</v>
      </c>
      <c r="N9" s="653" t="s">
        <v>1349</v>
      </c>
      <c r="O9" s="653" t="s">
        <v>1512</v>
      </c>
      <c r="P9" s="653" t="s">
        <v>920</v>
      </c>
      <c r="Q9" s="653" t="s">
        <v>1353</v>
      </c>
      <c r="R9" s="386"/>
      <c r="S9" s="666" t="s">
        <v>1355</v>
      </c>
    </row>
    <row r="10" spans="1:19" ht="12.75">
      <c r="A10" s="419"/>
      <c r="B10" s="654"/>
      <c r="C10" s="654"/>
      <c r="D10" s="654"/>
      <c r="E10" s="654"/>
      <c r="F10" s="654"/>
      <c r="G10" s="654"/>
      <c r="H10" s="654"/>
      <c r="I10" s="654"/>
      <c r="J10" s="654"/>
      <c r="K10" s="386"/>
      <c r="L10" s="654"/>
      <c r="M10" s="654"/>
      <c r="N10" s="654"/>
      <c r="O10" s="654"/>
      <c r="P10" s="654"/>
      <c r="Q10" s="654"/>
      <c r="R10" s="386"/>
      <c r="S10" s="667"/>
    </row>
    <row r="11" spans="1:19" ht="12.75">
      <c r="A11" s="420"/>
      <c r="B11" s="440" t="str">
        <f>HYPERLINK(CONCATENATE(Filename,"InsProcA"),"(instructions)")</f>
        <v>(instructions)</v>
      </c>
      <c r="C11" s="440" t="str">
        <f>HYPERLINK(CONCATENATE(Filename,"InsProcB"),"(instructions)")</f>
        <v>(instructions)</v>
      </c>
      <c r="D11" s="440" t="str">
        <f>HYPERLINK(CONCATENATE(Filename,"InsProcC"),"(instructions)")</f>
        <v>(instructions)</v>
      </c>
      <c r="E11" s="440" t="str">
        <f>HYPERLINK(CONCATENATE(Filename,"InsProcD"),"(instructions)")</f>
        <v>(instructions)</v>
      </c>
      <c r="F11" s="440" t="str">
        <f>HYPERLINK(CONCATENATE(Filename,"InsProcE"),"(instructions)")</f>
        <v>(instructions)</v>
      </c>
      <c r="G11" s="440" t="str">
        <f>HYPERLINK(CONCATENATE(Filename,"InsProcF"),"(instructions)")</f>
        <v>(instructions)</v>
      </c>
      <c r="H11" s="440" t="str">
        <f>HYPERLINK(CONCATENATE(Filename,"InsProcG"),"(instructions)")</f>
        <v>(instructions)</v>
      </c>
      <c r="I11" s="440" t="str">
        <f>HYPERLINK(CONCATENATE(Filename,"InsProcH"),"(instructions)")</f>
        <v>(instructions)</v>
      </c>
      <c r="J11" s="440" t="str">
        <f>HYPERLINK(CONCATENATE(Filename,"InsProcI"),"(instructions)")</f>
        <v>(instructions)</v>
      </c>
      <c r="K11" s="386"/>
      <c r="L11" s="440" t="str">
        <f>HYPERLINK(CONCATENATE(Filename,"InsProcJ"),"(instructions)")</f>
        <v>(instructions)</v>
      </c>
      <c r="M11" s="440" t="str">
        <f>HYPERLINK(CONCATENATE(Filename,"InsProcK"),"(instructions)")</f>
        <v>(instructions)</v>
      </c>
      <c r="N11" s="440" t="str">
        <f>HYPERLINK(CONCATENATE(Filename,"InsProcL"),"(instructions)")</f>
        <v>(instructions)</v>
      </c>
      <c r="O11" s="440" t="str">
        <f>HYPERLINK(CONCATENATE(Filename,"InsProcM"),"(instructions)")</f>
        <v>(instructions)</v>
      </c>
      <c r="P11" s="440" t="str">
        <f>HYPERLINK(CONCATENATE(Filename,"InsProcN"),"(instructions)")</f>
        <v>(instructions)</v>
      </c>
      <c r="Q11" s="440" t="str">
        <f>HYPERLINK(CONCATENATE(Filename,"InsProcO"),"(instructions)")</f>
        <v>(instructions)</v>
      </c>
      <c r="R11" s="386"/>
      <c r="S11" s="441" t="str">
        <f>HYPERLINK(CONCATENATE(Filename,"InsProcP"),"(instructions)")</f>
        <v>(instructions)</v>
      </c>
    </row>
    <row r="12" spans="1:19" ht="12.75">
      <c r="A12" s="421" t="s">
        <v>921</v>
      </c>
      <c r="B12" s="405"/>
      <c r="C12" s="413" t="s">
        <v>922</v>
      </c>
      <c r="D12" s="413" t="s">
        <v>922</v>
      </c>
      <c r="E12" s="405"/>
      <c r="F12" s="413" t="s">
        <v>922</v>
      </c>
      <c r="G12" s="405"/>
      <c r="H12" s="410" t="s">
        <v>922</v>
      </c>
      <c r="I12" s="414" t="s">
        <v>922</v>
      </c>
      <c r="J12" s="413" t="s">
        <v>922</v>
      </c>
      <c r="K12" s="407"/>
      <c r="L12" s="405"/>
      <c r="M12" s="412" t="s">
        <v>922</v>
      </c>
      <c r="N12" s="412" t="s">
        <v>922</v>
      </c>
      <c r="O12" s="405"/>
      <c r="P12" s="413" t="s">
        <v>922</v>
      </c>
      <c r="Q12" s="413" t="s">
        <v>922</v>
      </c>
      <c r="R12" s="407"/>
      <c r="S12" s="408"/>
    </row>
    <row r="13" spans="1:19" ht="12.75">
      <c r="A13" s="421" t="s">
        <v>923</v>
      </c>
      <c r="B13" s="405"/>
      <c r="C13" s="413" t="s">
        <v>922</v>
      </c>
      <c r="D13" s="413" t="s">
        <v>922</v>
      </c>
      <c r="E13" s="405"/>
      <c r="F13" s="413" t="s">
        <v>922</v>
      </c>
      <c r="G13" s="405"/>
      <c r="H13" s="410" t="s">
        <v>922</v>
      </c>
      <c r="I13" s="414" t="s">
        <v>922</v>
      </c>
      <c r="J13" s="413" t="s">
        <v>922</v>
      </c>
      <c r="K13" s="407"/>
      <c r="L13" s="405"/>
      <c r="M13" s="412" t="s">
        <v>922</v>
      </c>
      <c r="N13" s="412" t="s">
        <v>922</v>
      </c>
      <c r="O13" s="405"/>
      <c r="P13" s="413" t="s">
        <v>922</v>
      </c>
      <c r="Q13" s="413" t="s">
        <v>922</v>
      </c>
      <c r="R13" s="407"/>
      <c r="S13" s="408"/>
    </row>
    <row r="14" spans="1:19" ht="12.75">
      <c r="A14" s="421" t="s">
        <v>924</v>
      </c>
      <c r="B14" s="405"/>
      <c r="C14" s="413" t="s">
        <v>922</v>
      </c>
      <c r="D14" s="413" t="s">
        <v>922</v>
      </c>
      <c r="E14" s="405"/>
      <c r="F14" s="413" t="s">
        <v>922</v>
      </c>
      <c r="G14" s="405"/>
      <c r="H14" s="410" t="s">
        <v>922</v>
      </c>
      <c r="I14" s="414" t="s">
        <v>922</v>
      </c>
      <c r="J14" s="413" t="s">
        <v>922</v>
      </c>
      <c r="K14" s="407"/>
      <c r="L14" s="405"/>
      <c r="M14" s="412" t="s">
        <v>922</v>
      </c>
      <c r="N14" s="412" t="s">
        <v>922</v>
      </c>
      <c r="O14" s="405"/>
      <c r="P14" s="413" t="s">
        <v>922</v>
      </c>
      <c r="Q14" s="413" t="s">
        <v>922</v>
      </c>
      <c r="R14" s="407"/>
      <c r="S14" s="408"/>
    </row>
    <row r="15" spans="1:19" ht="12.75">
      <c r="A15" s="421" t="s">
        <v>925</v>
      </c>
      <c r="B15" s="405"/>
      <c r="C15" s="413" t="s">
        <v>922</v>
      </c>
      <c r="D15" s="413" t="s">
        <v>922</v>
      </c>
      <c r="E15" s="405"/>
      <c r="F15" s="413" t="s">
        <v>922</v>
      </c>
      <c r="G15" s="405"/>
      <c r="H15" s="410" t="s">
        <v>922</v>
      </c>
      <c r="I15" s="414" t="s">
        <v>922</v>
      </c>
      <c r="J15" s="413" t="s">
        <v>922</v>
      </c>
      <c r="K15" s="407"/>
      <c r="L15" s="405"/>
      <c r="M15" s="412" t="s">
        <v>922</v>
      </c>
      <c r="N15" s="412" t="s">
        <v>922</v>
      </c>
      <c r="O15" s="405"/>
      <c r="P15" s="413" t="s">
        <v>922</v>
      </c>
      <c r="Q15" s="413" t="s">
        <v>922</v>
      </c>
      <c r="R15" s="407"/>
      <c r="S15" s="408"/>
    </row>
    <row r="16" spans="1:19" ht="12.75">
      <c r="A16" s="421" t="s">
        <v>926</v>
      </c>
      <c r="B16" s="405"/>
      <c r="C16" s="413" t="s">
        <v>922</v>
      </c>
      <c r="D16" s="413" t="s">
        <v>922</v>
      </c>
      <c r="E16" s="405"/>
      <c r="F16" s="413" t="s">
        <v>922</v>
      </c>
      <c r="G16" s="405"/>
      <c r="H16" s="410" t="s">
        <v>922</v>
      </c>
      <c r="I16" s="414" t="s">
        <v>922</v>
      </c>
      <c r="J16" s="413" t="s">
        <v>922</v>
      </c>
      <c r="K16" s="407"/>
      <c r="L16" s="405"/>
      <c r="M16" s="412" t="s">
        <v>922</v>
      </c>
      <c r="N16" s="412" t="s">
        <v>922</v>
      </c>
      <c r="O16" s="405"/>
      <c r="P16" s="413" t="s">
        <v>922</v>
      </c>
      <c r="Q16" s="413" t="s">
        <v>922</v>
      </c>
      <c r="R16" s="407"/>
      <c r="S16" s="408"/>
    </row>
    <row r="17" spans="1:19" ht="12.75">
      <c r="A17" s="421" t="s">
        <v>927</v>
      </c>
      <c r="B17" s="405"/>
      <c r="C17" s="413" t="s">
        <v>922</v>
      </c>
      <c r="D17" s="413" t="s">
        <v>922</v>
      </c>
      <c r="E17" s="405"/>
      <c r="F17" s="413" t="s">
        <v>922</v>
      </c>
      <c r="G17" s="405"/>
      <c r="H17" s="410" t="s">
        <v>922</v>
      </c>
      <c r="I17" s="414" t="s">
        <v>922</v>
      </c>
      <c r="J17" s="413" t="s">
        <v>922</v>
      </c>
      <c r="K17" s="407"/>
      <c r="L17" s="405"/>
      <c r="M17" s="412" t="s">
        <v>922</v>
      </c>
      <c r="N17" s="412" t="s">
        <v>922</v>
      </c>
      <c r="O17" s="405"/>
      <c r="P17" s="413" t="s">
        <v>922</v>
      </c>
      <c r="Q17" s="413" t="s">
        <v>922</v>
      </c>
      <c r="R17" s="407"/>
      <c r="S17" s="408"/>
    </row>
    <row r="18" spans="1:19" ht="12.75">
      <c r="A18" s="421" t="s">
        <v>928</v>
      </c>
      <c r="B18" s="405"/>
      <c r="C18" s="413" t="s">
        <v>922</v>
      </c>
      <c r="D18" s="413" t="s">
        <v>922</v>
      </c>
      <c r="E18" s="405"/>
      <c r="F18" s="413" t="s">
        <v>922</v>
      </c>
      <c r="G18" s="405"/>
      <c r="H18" s="410" t="s">
        <v>922</v>
      </c>
      <c r="I18" s="414" t="s">
        <v>922</v>
      </c>
      <c r="J18" s="413" t="s">
        <v>922</v>
      </c>
      <c r="K18" s="407"/>
      <c r="L18" s="405"/>
      <c r="M18" s="412" t="s">
        <v>922</v>
      </c>
      <c r="N18" s="412" t="s">
        <v>922</v>
      </c>
      <c r="O18" s="405"/>
      <c r="P18" s="413" t="s">
        <v>922</v>
      </c>
      <c r="Q18" s="413" t="s">
        <v>922</v>
      </c>
      <c r="R18" s="407"/>
      <c r="S18" s="408"/>
    </row>
    <row r="19" spans="1:19" ht="12.75">
      <c r="A19" s="421" t="s">
        <v>929</v>
      </c>
      <c r="B19" s="405"/>
      <c r="C19" s="413" t="s">
        <v>922</v>
      </c>
      <c r="D19" s="413" t="s">
        <v>922</v>
      </c>
      <c r="E19" s="405"/>
      <c r="F19" s="413" t="s">
        <v>922</v>
      </c>
      <c r="G19" s="405"/>
      <c r="H19" s="410" t="s">
        <v>922</v>
      </c>
      <c r="I19" s="414" t="s">
        <v>922</v>
      </c>
      <c r="J19" s="413" t="s">
        <v>922</v>
      </c>
      <c r="K19" s="407"/>
      <c r="L19" s="405"/>
      <c r="M19" s="412" t="s">
        <v>922</v>
      </c>
      <c r="N19" s="412" t="s">
        <v>922</v>
      </c>
      <c r="O19" s="405"/>
      <c r="P19" s="413" t="s">
        <v>922</v>
      </c>
      <c r="Q19" s="413" t="s">
        <v>922</v>
      </c>
      <c r="R19" s="407"/>
      <c r="S19" s="408"/>
    </row>
    <row r="20" spans="1:19" ht="12.75">
      <c r="A20" s="421" t="s">
        <v>930</v>
      </c>
      <c r="B20" s="405"/>
      <c r="C20" s="413" t="s">
        <v>922</v>
      </c>
      <c r="D20" s="413" t="s">
        <v>922</v>
      </c>
      <c r="E20" s="405"/>
      <c r="F20" s="413" t="s">
        <v>922</v>
      </c>
      <c r="G20" s="405"/>
      <c r="H20" s="410" t="s">
        <v>922</v>
      </c>
      <c r="I20" s="414" t="s">
        <v>922</v>
      </c>
      <c r="J20" s="413" t="s">
        <v>922</v>
      </c>
      <c r="K20" s="407"/>
      <c r="L20" s="405"/>
      <c r="M20" s="412" t="s">
        <v>922</v>
      </c>
      <c r="N20" s="412" t="s">
        <v>922</v>
      </c>
      <c r="O20" s="405"/>
      <c r="P20" s="413" t="s">
        <v>922</v>
      </c>
      <c r="Q20" s="413" t="s">
        <v>922</v>
      </c>
      <c r="R20" s="407"/>
      <c r="S20" s="408"/>
    </row>
    <row r="21" spans="1:19" ht="12.75">
      <c r="A21" s="421" t="s">
        <v>931</v>
      </c>
      <c r="B21" s="405"/>
      <c r="C21" s="413" t="s">
        <v>922</v>
      </c>
      <c r="D21" s="413" t="s">
        <v>922</v>
      </c>
      <c r="E21" s="405"/>
      <c r="F21" s="413" t="s">
        <v>922</v>
      </c>
      <c r="G21" s="405"/>
      <c r="H21" s="410" t="s">
        <v>922</v>
      </c>
      <c r="I21" s="414" t="s">
        <v>922</v>
      </c>
      <c r="J21" s="413" t="s">
        <v>922</v>
      </c>
      <c r="K21" s="407"/>
      <c r="L21" s="405"/>
      <c r="M21" s="412" t="s">
        <v>922</v>
      </c>
      <c r="N21" s="412" t="s">
        <v>922</v>
      </c>
      <c r="O21" s="405"/>
      <c r="P21" s="413" t="s">
        <v>922</v>
      </c>
      <c r="Q21" s="413" t="s">
        <v>922</v>
      </c>
      <c r="R21" s="407"/>
      <c r="S21" s="408"/>
    </row>
    <row r="22" spans="1:19" ht="12.75">
      <c r="A22" s="421" t="s">
        <v>932</v>
      </c>
      <c r="B22" s="405"/>
      <c r="C22" s="413" t="s">
        <v>922</v>
      </c>
      <c r="D22" s="413" t="s">
        <v>922</v>
      </c>
      <c r="E22" s="405"/>
      <c r="F22" s="413" t="s">
        <v>922</v>
      </c>
      <c r="G22" s="405"/>
      <c r="H22" s="410" t="s">
        <v>922</v>
      </c>
      <c r="I22" s="414" t="s">
        <v>922</v>
      </c>
      <c r="J22" s="413" t="s">
        <v>922</v>
      </c>
      <c r="K22" s="407"/>
      <c r="L22" s="405"/>
      <c r="M22" s="412" t="s">
        <v>922</v>
      </c>
      <c r="N22" s="412" t="s">
        <v>922</v>
      </c>
      <c r="O22" s="405"/>
      <c r="P22" s="413" t="s">
        <v>922</v>
      </c>
      <c r="Q22" s="413" t="s">
        <v>922</v>
      </c>
      <c r="R22" s="407"/>
      <c r="S22" s="408"/>
    </row>
    <row r="23" spans="1:19" ht="12.75">
      <c r="A23" s="421" t="s">
        <v>933</v>
      </c>
      <c r="B23" s="405"/>
      <c r="C23" s="413" t="s">
        <v>922</v>
      </c>
      <c r="D23" s="413" t="s">
        <v>922</v>
      </c>
      <c r="E23" s="405"/>
      <c r="F23" s="413" t="s">
        <v>922</v>
      </c>
      <c r="G23" s="405"/>
      <c r="H23" s="410" t="s">
        <v>922</v>
      </c>
      <c r="I23" s="414" t="s">
        <v>922</v>
      </c>
      <c r="J23" s="413" t="s">
        <v>922</v>
      </c>
      <c r="K23" s="407"/>
      <c r="L23" s="405"/>
      <c r="M23" s="412" t="s">
        <v>922</v>
      </c>
      <c r="N23" s="412" t="s">
        <v>922</v>
      </c>
      <c r="O23" s="405"/>
      <c r="P23" s="413" t="s">
        <v>922</v>
      </c>
      <c r="Q23" s="413" t="s">
        <v>922</v>
      </c>
      <c r="R23" s="407"/>
      <c r="S23" s="408"/>
    </row>
    <row r="24" spans="1:19" ht="12.75">
      <c r="A24" s="421" t="s">
        <v>934</v>
      </c>
      <c r="B24" s="405"/>
      <c r="C24" s="413" t="s">
        <v>922</v>
      </c>
      <c r="D24" s="413" t="s">
        <v>922</v>
      </c>
      <c r="E24" s="405"/>
      <c r="F24" s="413" t="s">
        <v>922</v>
      </c>
      <c r="G24" s="405"/>
      <c r="H24" s="410" t="s">
        <v>922</v>
      </c>
      <c r="I24" s="414" t="s">
        <v>922</v>
      </c>
      <c r="J24" s="413" t="s">
        <v>922</v>
      </c>
      <c r="K24" s="407"/>
      <c r="L24" s="405"/>
      <c r="M24" s="412" t="s">
        <v>922</v>
      </c>
      <c r="N24" s="412" t="s">
        <v>922</v>
      </c>
      <c r="O24" s="405"/>
      <c r="P24" s="413" t="s">
        <v>922</v>
      </c>
      <c r="Q24" s="413" t="s">
        <v>922</v>
      </c>
      <c r="R24" s="407"/>
      <c r="S24" s="408"/>
    </row>
    <row r="25" spans="1:19" ht="12.75">
      <c r="A25" s="421" t="s">
        <v>935</v>
      </c>
      <c r="B25" s="405"/>
      <c r="C25" s="413" t="s">
        <v>922</v>
      </c>
      <c r="D25" s="413" t="s">
        <v>922</v>
      </c>
      <c r="E25" s="405"/>
      <c r="F25" s="413" t="s">
        <v>922</v>
      </c>
      <c r="G25" s="405"/>
      <c r="H25" s="410" t="s">
        <v>922</v>
      </c>
      <c r="I25" s="414" t="s">
        <v>922</v>
      </c>
      <c r="J25" s="413" t="s">
        <v>922</v>
      </c>
      <c r="K25" s="407"/>
      <c r="L25" s="405"/>
      <c r="M25" s="412" t="s">
        <v>922</v>
      </c>
      <c r="N25" s="412" t="s">
        <v>922</v>
      </c>
      <c r="O25" s="405"/>
      <c r="P25" s="413" t="s">
        <v>922</v>
      </c>
      <c r="Q25" s="413" t="s">
        <v>922</v>
      </c>
      <c r="R25" s="407"/>
      <c r="S25" s="408"/>
    </row>
    <row r="26" spans="1:19" ht="12.75">
      <c r="A26" s="421" t="s">
        <v>936</v>
      </c>
      <c r="B26" s="405"/>
      <c r="C26" s="413" t="s">
        <v>922</v>
      </c>
      <c r="D26" s="413" t="s">
        <v>922</v>
      </c>
      <c r="E26" s="405"/>
      <c r="F26" s="413" t="s">
        <v>922</v>
      </c>
      <c r="G26" s="405"/>
      <c r="H26" s="410" t="s">
        <v>922</v>
      </c>
      <c r="I26" s="414" t="s">
        <v>922</v>
      </c>
      <c r="J26" s="413" t="s">
        <v>922</v>
      </c>
      <c r="K26" s="407"/>
      <c r="L26" s="405"/>
      <c r="M26" s="412" t="s">
        <v>922</v>
      </c>
      <c r="N26" s="412" t="s">
        <v>922</v>
      </c>
      <c r="O26" s="405"/>
      <c r="P26" s="413" t="s">
        <v>922</v>
      </c>
      <c r="Q26" s="413" t="s">
        <v>922</v>
      </c>
      <c r="R26" s="407"/>
      <c r="S26" s="408"/>
    </row>
    <row r="27" spans="1:19" ht="12.75">
      <c r="A27" s="421" t="s">
        <v>937</v>
      </c>
      <c r="B27" s="405"/>
      <c r="C27" s="413" t="s">
        <v>922</v>
      </c>
      <c r="D27" s="413" t="s">
        <v>922</v>
      </c>
      <c r="E27" s="405"/>
      <c r="F27" s="413" t="s">
        <v>922</v>
      </c>
      <c r="G27" s="405"/>
      <c r="H27" s="410" t="s">
        <v>922</v>
      </c>
      <c r="I27" s="414" t="s">
        <v>922</v>
      </c>
      <c r="J27" s="413" t="s">
        <v>922</v>
      </c>
      <c r="K27" s="407"/>
      <c r="L27" s="405"/>
      <c r="M27" s="412" t="s">
        <v>922</v>
      </c>
      <c r="N27" s="412" t="s">
        <v>922</v>
      </c>
      <c r="O27" s="405"/>
      <c r="P27" s="413" t="s">
        <v>922</v>
      </c>
      <c r="Q27" s="413" t="s">
        <v>922</v>
      </c>
      <c r="R27" s="407"/>
      <c r="S27" s="408"/>
    </row>
    <row r="28" spans="1:19" ht="12.75">
      <c r="A28" s="421" t="s">
        <v>938</v>
      </c>
      <c r="B28" s="405"/>
      <c r="C28" s="413" t="s">
        <v>922</v>
      </c>
      <c r="D28" s="413" t="s">
        <v>922</v>
      </c>
      <c r="E28" s="405"/>
      <c r="F28" s="413" t="s">
        <v>922</v>
      </c>
      <c r="G28" s="405"/>
      <c r="H28" s="410" t="s">
        <v>922</v>
      </c>
      <c r="I28" s="414" t="s">
        <v>922</v>
      </c>
      <c r="J28" s="413" t="s">
        <v>922</v>
      </c>
      <c r="K28" s="407"/>
      <c r="L28" s="405"/>
      <c r="M28" s="412" t="s">
        <v>922</v>
      </c>
      <c r="N28" s="412" t="s">
        <v>922</v>
      </c>
      <c r="O28" s="405"/>
      <c r="P28" s="413" t="s">
        <v>922</v>
      </c>
      <c r="Q28" s="413" t="s">
        <v>922</v>
      </c>
      <c r="R28" s="407"/>
      <c r="S28" s="408"/>
    </row>
    <row r="29" spans="1:19" ht="12.75">
      <c r="A29" s="421" t="s">
        <v>939</v>
      </c>
      <c r="B29" s="405"/>
      <c r="C29" s="413" t="s">
        <v>922</v>
      </c>
      <c r="D29" s="413" t="s">
        <v>922</v>
      </c>
      <c r="E29" s="405"/>
      <c r="F29" s="413" t="s">
        <v>922</v>
      </c>
      <c r="G29" s="405"/>
      <c r="H29" s="410" t="s">
        <v>922</v>
      </c>
      <c r="I29" s="414" t="s">
        <v>922</v>
      </c>
      <c r="J29" s="413" t="s">
        <v>922</v>
      </c>
      <c r="K29" s="407"/>
      <c r="L29" s="405"/>
      <c r="M29" s="412" t="s">
        <v>922</v>
      </c>
      <c r="N29" s="412" t="s">
        <v>922</v>
      </c>
      <c r="O29" s="405"/>
      <c r="P29" s="413" t="s">
        <v>922</v>
      </c>
      <c r="Q29" s="413" t="s">
        <v>922</v>
      </c>
      <c r="R29" s="407"/>
      <c r="S29" s="408"/>
    </row>
    <row r="30" spans="1:19" ht="12.75">
      <c r="A30" s="421" t="s">
        <v>940</v>
      </c>
      <c r="B30" s="405"/>
      <c r="C30" s="413" t="s">
        <v>922</v>
      </c>
      <c r="D30" s="413" t="s">
        <v>922</v>
      </c>
      <c r="E30" s="405"/>
      <c r="F30" s="413" t="s">
        <v>922</v>
      </c>
      <c r="G30" s="405"/>
      <c r="H30" s="410" t="s">
        <v>922</v>
      </c>
      <c r="I30" s="414" t="s">
        <v>922</v>
      </c>
      <c r="J30" s="413" t="s">
        <v>922</v>
      </c>
      <c r="K30" s="407"/>
      <c r="L30" s="405"/>
      <c r="M30" s="412" t="s">
        <v>922</v>
      </c>
      <c r="N30" s="412" t="s">
        <v>922</v>
      </c>
      <c r="O30" s="405"/>
      <c r="P30" s="413" t="s">
        <v>922</v>
      </c>
      <c r="Q30" s="413" t="s">
        <v>922</v>
      </c>
      <c r="R30" s="407"/>
      <c r="S30" s="408"/>
    </row>
    <row r="31" spans="1:19" ht="12.75">
      <c r="A31" s="421" t="s">
        <v>941</v>
      </c>
      <c r="B31" s="405"/>
      <c r="C31" s="413" t="s">
        <v>922</v>
      </c>
      <c r="D31" s="413" t="s">
        <v>922</v>
      </c>
      <c r="E31" s="405"/>
      <c r="F31" s="413" t="s">
        <v>922</v>
      </c>
      <c r="G31" s="405"/>
      <c r="H31" s="410" t="s">
        <v>922</v>
      </c>
      <c r="I31" s="414" t="s">
        <v>922</v>
      </c>
      <c r="J31" s="413" t="s">
        <v>922</v>
      </c>
      <c r="K31" s="407"/>
      <c r="L31" s="405"/>
      <c r="M31" s="412" t="s">
        <v>922</v>
      </c>
      <c r="N31" s="412" t="s">
        <v>922</v>
      </c>
      <c r="O31" s="405"/>
      <c r="P31" s="413" t="s">
        <v>922</v>
      </c>
      <c r="Q31" s="413" t="s">
        <v>922</v>
      </c>
      <c r="R31" s="407"/>
      <c r="S31" s="408"/>
    </row>
    <row r="32" spans="1:19" ht="12.75">
      <c r="A32" s="421" t="s">
        <v>942</v>
      </c>
      <c r="B32" s="405"/>
      <c r="C32" s="413" t="s">
        <v>922</v>
      </c>
      <c r="D32" s="413" t="s">
        <v>922</v>
      </c>
      <c r="E32" s="405"/>
      <c r="F32" s="413" t="s">
        <v>922</v>
      </c>
      <c r="G32" s="405"/>
      <c r="H32" s="410" t="s">
        <v>922</v>
      </c>
      <c r="I32" s="414" t="s">
        <v>922</v>
      </c>
      <c r="J32" s="413" t="s">
        <v>922</v>
      </c>
      <c r="K32" s="407"/>
      <c r="L32" s="405"/>
      <c r="M32" s="412" t="s">
        <v>922</v>
      </c>
      <c r="N32" s="412" t="s">
        <v>922</v>
      </c>
      <c r="O32" s="405"/>
      <c r="P32" s="413" t="s">
        <v>922</v>
      </c>
      <c r="Q32" s="413" t="s">
        <v>922</v>
      </c>
      <c r="R32" s="407"/>
      <c r="S32" s="408"/>
    </row>
    <row r="33" spans="1:19" ht="12.75">
      <c r="A33" s="421" t="s">
        <v>943</v>
      </c>
      <c r="B33" s="405"/>
      <c r="C33" s="413" t="s">
        <v>922</v>
      </c>
      <c r="D33" s="413" t="s">
        <v>922</v>
      </c>
      <c r="E33" s="405"/>
      <c r="F33" s="413" t="s">
        <v>922</v>
      </c>
      <c r="G33" s="405"/>
      <c r="H33" s="410" t="s">
        <v>922</v>
      </c>
      <c r="I33" s="414" t="s">
        <v>922</v>
      </c>
      <c r="J33" s="413" t="s">
        <v>922</v>
      </c>
      <c r="K33" s="407"/>
      <c r="L33" s="405"/>
      <c r="M33" s="412" t="s">
        <v>922</v>
      </c>
      <c r="N33" s="412" t="s">
        <v>922</v>
      </c>
      <c r="O33" s="405"/>
      <c r="P33" s="413" t="s">
        <v>922</v>
      </c>
      <c r="Q33" s="413" t="s">
        <v>922</v>
      </c>
      <c r="R33" s="407"/>
      <c r="S33" s="408"/>
    </row>
    <row r="34" spans="1:19" ht="12.75">
      <c r="A34" s="421" t="s">
        <v>944</v>
      </c>
      <c r="B34" s="405"/>
      <c r="C34" s="413" t="s">
        <v>922</v>
      </c>
      <c r="D34" s="413" t="s">
        <v>922</v>
      </c>
      <c r="E34" s="405"/>
      <c r="F34" s="413" t="s">
        <v>922</v>
      </c>
      <c r="G34" s="405"/>
      <c r="H34" s="410" t="s">
        <v>922</v>
      </c>
      <c r="I34" s="414" t="s">
        <v>922</v>
      </c>
      <c r="J34" s="413" t="s">
        <v>922</v>
      </c>
      <c r="K34" s="407"/>
      <c r="L34" s="405"/>
      <c r="M34" s="412" t="s">
        <v>922</v>
      </c>
      <c r="N34" s="412" t="s">
        <v>922</v>
      </c>
      <c r="O34" s="405"/>
      <c r="P34" s="413" t="s">
        <v>922</v>
      </c>
      <c r="Q34" s="413" t="s">
        <v>922</v>
      </c>
      <c r="R34" s="407"/>
      <c r="S34" s="408"/>
    </row>
    <row r="35" spans="1:19" ht="12.75">
      <c r="A35" s="421" t="s">
        <v>945</v>
      </c>
      <c r="B35" s="405"/>
      <c r="C35" s="413" t="s">
        <v>922</v>
      </c>
      <c r="D35" s="413" t="s">
        <v>922</v>
      </c>
      <c r="E35" s="405"/>
      <c r="F35" s="413" t="s">
        <v>922</v>
      </c>
      <c r="G35" s="405"/>
      <c r="H35" s="410" t="s">
        <v>922</v>
      </c>
      <c r="I35" s="414" t="s">
        <v>922</v>
      </c>
      <c r="J35" s="413" t="s">
        <v>922</v>
      </c>
      <c r="K35" s="407"/>
      <c r="L35" s="405"/>
      <c r="M35" s="412" t="s">
        <v>922</v>
      </c>
      <c r="N35" s="412" t="s">
        <v>922</v>
      </c>
      <c r="O35" s="405"/>
      <c r="P35" s="413" t="s">
        <v>922</v>
      </c>
      <c r="Q35" s="413" t="s">
        <v>922</v>
      </c>
      <c r="R35" s="407"/>
      <c r="S35" s="408"/>
    </row>
    <row r="36" spans="1:19" ht="12.75">
      <c r="A36" s="421" t="s">
        <v>946</v>
      </c>
      <c r="B36" s="405"/>
      <c r="C36" s="413" t="s">
        <v>922</v>
      </c>
      <c r="D36" s="413" t="s">
        <v>922</v>
      </c>
      <c r="E36" s="405"/>
      <c r="F36" s="413" t="s">
        <v>922</v>
      </c>
      <c r="G36" s="405"/>
      <c r="H36" s="410" t="s">
        <v>922</v>
      </c>
      <c r="I36" s="414" t="s">
        <v>922</v>
      </c>
      <c r="J36" s="413" t="s">
        <v>922</v>
      </c>
      <c r="K36" s="407"/>
      <c r="L36" s="405"/>
      <c r="M36" s="412" t="s">
        <v>922</v>
      </c>
      <c r="N36" s="412" t="s">
        <v>922</v>
      </c>
      <c r="O36" s="405"/>
      <c r="P36" s="413" t="s">
        <v>922</v>
      </c>
      <c r="Q36" s="413" t="s">
        <v>922</v>
      </c>
      <c r="R36" s="407"/>
      <c r="S36" s="408"/>
    </row>
    <row r="37" spans="1:19" ht="12.75">
      <c r="A37" s="421" t="s">
        <v>947</v>
      </c>
      <c r="B37" s="405"/>
      <c r="C37" s="413" t="s">
        <v>922</v>
      </c>
      <c r="D37" s="413" t="s">
        <v>922</v>
      </c>
      <c r="E37" s="405"/>
      <c r="F37" s="413" t="s">
        <v>922</v>
      </c>
      <c r="G37" s="405"/>
      <c r="H37" s="410" t="s">
        <v>922</v>
      </c>
      <c r="I37" s="414" t="s">
        <v>922</v>
      </c>
      <c r="J37" s="413" t="s">
        <v>922</v>
      </c>
      <c r="K37" s="407"/>
      <c r="L37" s="405"/>
      <c r="M37" s="412" t="s">
        <v>922</v>
      </c>
      <c r="N37" s="412" t="s">
        <v>922</v>
      </c>
      <c r="O37" s="405"/>
      <c r="P37" s="413" t="s">
        <v>922</v>
      </c>
      <c r="Q37" s="413" t="s">
        <v>922</v>
      </c>
      <c r="R37" s="407"/>
      <c r="S37" s="408"/>
    </row>
    <row r="38" spans="1:19" ht="12.75">
      <c r="A38" s="421" t="s">
        <v>948</v>
      </c>
      <c r="B38" s="405"/>
      <c r="C38" s="413" t="s">
        <v>922</v>
      </c>
      <c r="D38" s="413" t="s">
        <v>922</v>
      </c>
      <c r="E38" s="405"/>
      <c r="F38" s="413" t="s">
        <v>922</v>
      </c>
      <c r="G38" s="405"/>
      <c r="H38" s="410" t="s">
        <v>922</v>
      </c>
      <c r="I38" s="414" t="s">
        <v>922</v>
      </c>
      <c r="J38" s="413" t="s">
        <v>922</v>
      </c>
      <c r="K38" s="407"/>
      <c r="L38" s="405"/>
      <c r="M38" s="412" t="s">
        <v>922</v>
      </c>
      <c r="N38" s="412" t="s">
        <v>922</v>
      </c>
      <c r="O38" s="405"/>
      <c r="P38" s="413" t="s">
        <v>922</v>
      </c>
      <c r="Q38" s="413" t="s">
        <v>922</v>
      </c>
      <c r="R38" s="407"/>
      <c r="S38" s="408"/>
    </row>
    <row r="39" spans="1:19" ht="12.75">
      <c r="A39" s="421" t="s">
        <v>949</v>
      </c>
      <c r="B39" s="405"/>
      <c r="C39" s="413" t="s">
        <v>922</v>
      </c>
      <c r="D39" s="413" t="s">
        <v>922</v>
      </c>
      <c r="E39" s="405"/>
      <c r="F39" s="413" t="s">
        <v>922</v>
      </c>
      <c r="G39" s="405"/>
      <c r="H39" s="410" t="s">
        <v>922</v>
      </c>
      <c r="I39" s="414" t="s">
        <v>922</v>
      </c>
      <c r="J39" s="413" t="s">
        <v>922</v>
      </c>
      <c r="K39" s="407"/>
      <c r="L39" s="405"/>
      <c r="M39" s="412" t="s">
        <v>922</v>
      </c>
      <c r="N39" s="412" t="s">
        <v>922</v>
      </c>
      <c r="O39" s="405"/>
      <c r="P39" s="413" t="s">
        <v>922</v>
      </c>
      <c r="Q39" s="413" t="s">
        <v>922</v>
      </c>
      <c r="R39" s="407"/>
      <c r="S39" s="408"/>
    </row>
    <row r="40" spans="1:19" ht="12.75">
      <c r="A40" s="421" t="s">
        <v>950</v>
      </c>
      <c r="B40" s="405"/>
      <c r="C40" s="413" t="s">
        <v>922</v>
      </c>
      <c r="D40" s="413" t="s">
        <v>922</v>
      </c>
      <c r="E40" s="405"/>
      <c r="F40" s="413" t="s">
        <v>922</v>
      </c>
      <c r="G40" s="405"/>
      <c r="H40" s="410" t="s">
        <v>922</v>
      </c>
      <c r="I40" s="414" t="s">
        <v>922</v>
      </c>
      <c r="J40" s="413" t="s">
        <v>922</v>
      </c>
      <c r="K40" s="407"/>
      <c r="L40" s="405"/>
      <c r="M40" s="412" t="s">
        <v>922</v>
      </c>
      <c r="N40" s="412" t="s">
        <v>922</v>
      </c>
      <c r="O40" s="405"/>
      <c r="P40" s="413" t="s">
        <v>922</v>
      </c>
      <c r="Q40" s="413" t="s">
        <v>922</v>
      </c>
      <c r="R40" s="407"/>
      <c r="S40" s="408"/>
    </row>
    <row r="41" spans="1:19" ht="12.75">
      <c r="A41" s="421" t="s">
        <v>951</v>
      </c>
      <c r="B41" s="405"/>
      <c r="C41" s="413" t="s">
        <v>922</v>
      </c>
      <c r="D41" s="413" t="s">
        <v>922</v>
      </c>
      <c r="E41" s="405"/>
      <c r="F41" s="413" t="s">
        <v>922</v>
      </c>
      <c r="G41" s="405"/>
      <c r="H41" s="410" t="s">
        <v>922</v>
      </c>
      <c r="I41" s="414" t="s">
        <v>922</v>
      </c>
      <c r="J41" s="413" t="s">
        <v>922</v>
      </c>
      <c r="K41" s="407"/>
      <c r="L41" s="405"/>
      <c r="M41" s="412" t="s">
        <v>922</v>
      </c>
      <c r="N41" s="412" t="s">
        <v>922</v>
      </c>
      <c r="O41" s="405"/>
      <c r="P41" s="413" t="s">
        <v>922</v>
      </c>
      <c r="Q41" s="413" t="s">
        <v>922</v>
      </c>
      <c r="R41" s="407"/>
      <c r="S41" s="408"/>
    </row>
    <row r="42" spans="1:19" ht="12.75">
      <c r="A42" s="421" t="s">
        <v>952</v>
      </c>
      <c r="B42" s="405"/>
      <c r="C42" s="413" t="s">
        <v>922</v>
      </c>
      <c r="D42" s="413" t="s">
        <v>922</v>
      </c>
      <c r="E42" s="405"/>
      <c r="F42" s="413" t="s">
        <v>922</v>
      </c>
      <c r="G42" s="405"/>
      <c r="H42" s="410" t="s">
        <v>922</v>
      </c>
      <c r="I42" s="414" t="s">
        <v>922</v>
      </c>
      <c r="J42" s="413" t="s">
        <v>922</v>
      </c>
      <c r="K42" s="407"/>
      <c r="L42" s="405"/>
      <c r="M42" s="412" t="s">
        <v>922</v>
      </c>
      <c r="N42" s="412" t="s">
        <v>922</v>
      </c>
      <c r="O42" s="405"/>
      <c r="P42" s="413" t="s">
        <v>922</v>
      </c>
      <c r="Q42" s="413" t="s">
        <v>922</v>
      </c>
      <c r="R42" s="407"/>
      <c r="S42" s="408"/>
    </row>
    <row r="43" spans="1:19" ht="12.75">
      <c r="A43" s="421" t="s">
        <v>953</v>
      </c>
      <c r="B43" s="405"/>
      <c r="C43" s="413" t="s">
        <v>922</v>
      </c>
      <c r="D43" s="413" t="s">
        <v>922</v>
      </c>
      <c r="E43" s="405"/>
      <c r="F43" s="413" t="s">
        <v>922</v>
      </c>
      <c r="G43" s="405"/>
      <c r="H43" s="410" t="s">
        <v>922</v>
      </c>
      <c r="I43" s="414" t="s">
        <v>922</v>
      </c>
      <c r="J43" s="413" t="s">
        <v>922</v>
      </c>
      <c r="K43" s="407"/>
      <c r="L43" s="405"/>
      <c r="M43" s="412" t="s">
        <v>922</v>
      </c>
      <c r="N43" s="412" t="s">
        <v>922</v>
      </c>
      <c r="O43" s="405"/>
      <c r="P43" s="413" t="s">
        <v>922</v>
      </c>
      <c r="Q43" s="413" t="s">
        <v>922</v>
      </c>
      <c r="R43" s="407"/>
      <c r="S43" s="408"/>
    </row>
    <row r="44" spans="1:19" ht="12.75">
      <c r="A44" s="421" t="s">
        <v>954</v>
      </c>
      <c r="B44" s="405"/>
      <c r="C44" s="413" t="s">
        <v>922</v>
      </c>
      <c r="D44" s="413" t="s">
        <v>922</v>
      </c>
      <c r="E44" s="405"/>
      <c r="F44" s="413" t="s">
        <v>922</v>
      </c>
      <c r="G44" s="405"/>
      <c r="H44" s="410" t="s">
        <v>922</v>
      </c>
      <c r="I44" s="414" t="s">
        <v>922</v>
      </c>
      <c r="J44" s="413" t="s">
        <v>922</v>
      </c>
      <c r="K44" s="407"/>
      <c r="L44" s="405"/>
      <c r="M44" s="412" t="s">
        <v>922</v>
      </c>
      <c r="N44" s="412" t="s">
        <v>922</v>
      </c>
      <c r="O44" s="405"/>
      <c r="P44" s="413" t="s">
        <v>922</v>
      </c>
      <c r="Q44" s="413" t="s">
        <v>922</v>
      </c>
      <c r="R44" s="407"/>
      <c r="S44" s="408"/>
    </row>
    <row r="45" spans="1:19" ht="12.75">
      <c r="A45" s="421" t="s">
        <v>955</v>
      </c>
      <c r="B45" s="405"/>
      <c r="C45" s="413" t="s">
        <v>922</v>
      </c>
      <c r="D45" s="413" t="s">
        <v>922</v>
      </c>
      <c r="E45" s="405"/>
      <c r="F45" s="413" t="s">
        <v>922</v>
      </c>
      <c r="G45" s="405"/>
      <c r="H45" s="410" t="s">
        <v>922</v>
      </c>
      <c r="I45" s="414" t="s">
        <v>922</v>
      </c>
      <c r="J45" s="413" t="s">
        <v>922</v>
      </c>
      <c r="K45" s="407"/>
      <c r="L45" s="405"/>
      <c r="M45" s="412" t="s">
        <v>922</v>
      </c>
      <c r="N45" s="412" t="s">
        <v>922</v>
      </c>
      <c r="O45" s="405"/>
      <c r="P45" s="413" t="s">
        <v>922</v>
      </c>
      <c r="Q45" s="413" t="s">
        <v>922</v>
      </c>
      <c r="R45" s="407"/>
      <c r="S45" s="408"/>
    </row>
    <row r="46" spans="1:19" ht="12.75">
      <c r="A46" s="421" t="s">
        <v>956</v>
      </c>
      <c r="B46" s="405"/>
      <c r="C46" s="413" t="s">
        <v>922</v>
      </c>
      <c r="D46" s="413" t="s">
        <v>922</v>
      </c>
      <c r="E46" s="405"/>
      <c r="F46" s="413" t="s">
        <v>922</v>
      </c>
      <c r="G46" s="405"/>
      <c r="H46" s="410" t="s">
        <v>922</v>
      </c>
      <c r="I46" s="414" t="s">
        <v>922</v>
      </c>
      <c r="J46" s="413" t="s">
        <v>922</v>
      </c>
      <c r="K46" s="407"/>
      <c r="L46" s="405"/>
      <c r="M46" s="412" t="s">
        <v>922</v>
      </c>
      <c r="N46" s="412" t="s">
        <v>922</v>
      </c>
      <c r="O46" s="405"/>
      <c r="P46" s="413" t="s">
        <v>922</v>
      </c>
      <c r="Q46" s="413" t="s">
        <v>922</v>
      </c>
      <c r="R46" s="407"/>
      <c r="S46" s="408"/>
    </row>
    <row r="47" spans="1:19" ht="12.75">
      <c r="A47" s="421" t="s">
        <v>957</v>
      </c>
      <c r="B47" s="405"/>
      <c r="C47" s="413" t="s">
        <v>922</v>
      </c>
      <c r="D47" s="413" t="s">
        <v>922</v>
      </c>
      <c r="E47" s="405"/>
      <c r="F47" s="413" t="s">
        <v>922</v>
      </c>
      <c r="G47" s="405"/>
      <c r="H47" s="410" t="s">
        <v>922</v>
      </c>
      <c r="I47" s="414" t="s">
        <v>922</v>
      </c>
      <c r="J47" s="413" t="s">
        <v>922</v>
      </c>
      <c r="K47" s="407"/>
      <c r="L47" s="405"/>
      <c r="M47" s="412" t="s">
        <v>922</v>
      </c>
      <c r="N47" s="412" t="s">
        <v>922</v>
      </c>
      <c r="O47" s="405"/>
      <c r="P47" s="413" t="s">
        <v>922</v>
      </c>
      <c r="Q47" s="413" t="s">
        <v>922</v>
      </c>
      <c r="R47" s="407"/>
      <c r="S47" s="408"/>
    </row>
    <row r="48" spans="1:19" ht="12.75">
      <c r="A48" s="421" t="s">
        <v>958</v>
      </c>
      <c r="B48" s="405"/>
      <c r="C48" s="413" t="s">
        <v>922</v>
      </c>
      <c r="D48" s="413" t="s">
        <v>922</v>
      </c>
      <c r="E48" s="405"/>
      <c r="F48" s="413" t="s">
        <v>922</v>
      </c>
      <c r="G48" s="405"/>
      <c r="H48" s="410" t="s">
        <v>922</v>
      </c>
      <c r="I48" s="414" t="s">
        <v>922</v>
      </c>
      <c r="J48" s="413" t="s">
        <v>922</v>
      </c>
      <c r="K48" s="407"/>
      <c r="L48" s="405"/>
      <c r="M48" s="412" t="s">
        <v>922</v>
      </c>
      <c r="N48" s="412" t="s">
        <v>922</v>
      </c>
      <c r="O48" s="405"/>
      <c r="P48" s="413" t="s">
        <v>922</v>
      </c>
      <c r="Q48" s="413" t="s">
        <v>922</v>
      </c>
      <c r="R48" s="407"/>
      <c r="S48" s="408"/>
    </row>
    <row r="49" spans="1:19" ht="12.75">
      <c r="A49" s="421" t="s">
        <v>959</v>
      </c>
      <c r="B49" s="405"/>
      <c r="C49" s="413" t="s">
        <v>922</v>
      </c>
      <c r="D49" s="413" t="s">
        <v>922</v>
      </c>
      <c r="E49" s="405"/>
      <c r="F49" s="413" t="s">
        <v>922</v>
      </c>
      <c r="G49" s="405"/>
      <c r="H49" s="410" t="s">
        <v>922</v>
      </c>
      <c r="I49" s="414" t="s">
        <v>922</v>
      </c>
      <c r="J49" s="413" t="s">
        <v>922</v>
      </c>
      <c r="K49" s="407"/>
      <c r="L49" s="405"/>
      <c r="M49" s="412" t="s">
        <v>922</v>
      </c>
      <c r="N49" s="412" t="s">
        <v>922</v>
      </c>
      <c r="O49" s="405"/>
      <c r="P49" s="413" t="s">
        <v>922</v>
      </c>
      <c r="Q49" s="413" t="s">
        <v>922</v>
      </c>
      <c r="R49" s="407"/>
      <c r="S49" s="408"/>
    </row>
    <row r="50" spans="1:19" ht="12.75">
      <c r="A50" s="421" t="s">
        <v>960</v>
      </c>
      <c r="B50" s="405"/>
      <c r="C50" s="413" t="s">
        <v>922</v>
      </c>
      <c r="D50" s="413" t="s">
        <v>922</v>
      </c>
      <c r="E50" s="405"/>
      <c r="F50" s="413" t="s">
        <v>922</v>
      </c>
      <c r="G50" s="405"/>
      <c r="H50" s="410" t="s">
        <v>922</v>
      </c>
      <c r="I50" s="414" t="s">
        <v>922</v>
      </c>
      <c r="J50" s="413" t="s">
        <v>922</v>
      </c>
      <c r="K50" s="407"/>
      <c r="L50" s="405"/>
      <c r="M50" s="412" t="s">
        <v>922</v>
      </c>
      <c r="N50" s="412" t="s">
        <v>922</v>
      </c>
      <c r="O50" s="405"/>
      <c r="P50" s="413" t="s">
        <v>922</v>
      </c>
      <c r="Q50" s="413" t="s">
        <v>922</v>
      </c>
      <c r="R50" s="407"/>
      <c r="S50" s="408"/>
    </row>
    <row r="51" spans="1:19" ht="12.75">
      <c r="A51" s="421" t="s">
        <v>961</v>
      </c>
      <c r="B51" s="405"/>
      <c r="C51" s="413" t="s">
        <v>922</v>
      </c>
      <c r="D51" s="413" t="s">
        <v>922</v>
      </c>
      <c r="E51" s="405"/>
      <c r="F51" s="413" t="s">
        <v>922</v>
      </c>
      <c r="G51" s="405"/>
      <c r="H51" s="410" t="s">
        <v>922</v>
      </c>
      <c r="I51" s="414" t="s">
        <v>922</v>
      </c>
      <c r="J51" s="413" t="s">
        <v>922</v>
      </c>
      <c r="K51" s="407"/>
      <c r="L51" s="405"/>
      <c r="M51" s="412" t="s">
        <v>922</v>
      </c>
      <c r="N51" s="412" t="s">
        <v>922</v>
      </c>
      <c r="O51" s="405"/>
      <c r="P51" s="413" t="s">
        <v>922</v>
      </c>
      <c r="Q51" s="413" t="s">
        <v>922</v>
      </c>
      <c r="R51" s="407"/>
      <c r="S51" s="408"/>
    </row>
    <row r="52" spans="1:19" ht="12.75">
      <c r="A52" s="421" t="s">
        <v>962</v>
      </c>
      <c r="B52" s="405"/>
      <c r="C52" s="413" t="s">
        <v>922</v>
      </c>
      <c r="D52" s="413" t="s">
        <v>922</v>
      </c>
      <c r="E52" s="405"/>
      <c r="F52" s="413" t="s">
        <v>922</v>
      </c>
      <c r="G52" s="405"/>
      <c r="H52" s="410" t="s">
        <v>922</v>
      </c>
      <c r="I52" s="414" t="s">
        <v>922</v>
      </c>
      <c r="J52" s="413" t="s">
        <v>922</v>
      </c>
      <c r="K52" s="407"/>
      <c r="L52" s="405"/>
      <c r="M52" s="412" t="s">
        <v>922</v>
      </c>
      <c r="N52" s="412" t="s">
        <v>922</v>
      </c>
      <c r="O52" s="405"/>
      <c r="P52" s="413" t="s">
        <v>922</v>
      </c>
      <c r="Q52" s="413" t="s">
        <v>922</v>
      </c>
      <c r="R52" s="407"/>
      <c r="S52" s="408"/>
    </row>
    <row r="53" spans="1:19" ht="12.75">
      <c r="A53" s="421" t="s">
        <v>963</v>
      </c>
      <c r="B53" s="405"/>
      <c r="C53" s="413" t="s">
        <v>922</v>
      </c>
      <c r="D53" s="413" t="s">
        <v>922</v>
      </c>
      <c r="E53" s="405"/>
      <c r="F53" s="413" t="s">
        <v>922</v>
      </c>
      <c r="G53" s="405"/>
      <c r="H53" s="410" t="s">
        <v>922</v>
      </c>
      <c r="I53" s="414" t="s">
        <v>922</v>
      </c>
      <c r="J53" s="413" t="s">
        <v>922</v>
      </c>
      <c r="K53" s="407"/>
      <c r="L53" s="405"/>
      <c r="M53" s="412" t="s">
        <v>922</v>
      </c>
      <c r="N53" s="412" t="s">
        <v>922</v>
      </c>
      <c r="O53" s="405"/>
      <c r="P53" s="413" t="s">
        <v>922</v>
      </c>
      <c r="Q53" s="413" t="s">
        <v>922</v>
      </c>
      <c r="R53" s="407"/>
      <c r="S53" s="408"/>
    </row>
    <row r="54" spans="1:19" ht="12.75">
      <c r="A54" s="421" t="s">
        <v>964</v>
      </c>
      <c r="B54" s="405"/>
      <c r="C54" s="413" t="s">
        <v>922</v>
      </c>
      <c r="D54" s="413" t="s">
        <v>922</v>
      </c>
      <c r="E54" s="405"/>
      <c r="F54" s="413" t="s">
        <v>922</v>
      </c>
      <c r="G54" s="405"/>
      <c r="H54" s="410" t="s">
        <v>922</v>
      </c>
      <c r="I54" s="414" t="s">
        <v>922</v>
      </c>
      <c r="J54" s="413" t="s">
        <v>922</v>
      </c>
      <c r="K54" s="407"/>
      <c r="L54" s="405"/>
      <c r="M54" s="412" t="s">
        <v>922</v>
      </c>
      <c r="N54" s="412" t="s">
        <v>922</v>
      </c>
      <c r="O54" s="405"/>
      <c r="P54" s="413" t="s">
        <v>922</v>
      </c>
      <c r="Q54" s="413" t="s">
        <v>922</v>
      </c>
      <c r="R54" s="407"/>
      <c r="S54" s="408"/>
    </row>
    <row r="55" spans="1:19" ht="12.75">
      <c r="A55" s="421" t="s">
        <v>965</v>
      </c>
      <c r="B55" s="405"/>
      <c r="C55" s="413" t="s">
        <v>922</v>
      </c>
      <c r="D55" s="413" t="s">
        <v>922</v>
      </c>
      <c r="E55" s="405"/>
      <c r="F55" s="413" t="s">
        <v>922</v>
      </c>
      <c r="G55" s="405"/>
      <c r="H55" s="410" t="s">
        <v>922</v>
      </c>
      <c r="I55" s="414" t="s">
        <v>922</v>
      </c>
      <c r="J55" s="413" t="s">
        <v>922</v>
      </c>
      <c r="K55" s="407"/>
      <c r="L55" s="405"/>
      <c r="M55" s="412" t="s">
        <v>922</v>
      </c>
      <c r="N55" s="412" t="s">
        <v>922</v>
      </c>
      <c r="O55" s="405"/>
      <c r="P55" s="413" t="s">
        <v>922</v>
      </c>
      <c r="Q55" s="413" t="s">
        <v>922</v>
      </c>
      <c r="R55" s="407"/>
      <c r="S55" s="408"/>
    </row>
    <row r="56" spans="1:19" ht="12.75">
      <c r="A56" s="421" t="s">
        <v>966</v>
      </c>
      <c r="B56" s="405"/>
      <c r="C56" s="413" t="s">
        <v>922</v>
      </c>
      <c r="D56" s="413" t="s">
        <v>922</v>
      </c>
      <c r="E56" s="405"/>
      <c r="F56" s="413" t="s">
        <v>922</v>
      </c>
      <c r="G56" s="405"/>
      <c r="H56" s="410" t="s">
        <v>922</v>
      </c>
      <c r="I56" s="414" t="s">
        <v>922</v>
      </c>
      <c r="J56" s="413" t="s">
        <v>922</v>
      </c>
      <c r="K56" s="407"/>
      <c r="L56" s="405"/>
      <c r="M56" s="412" t="s">
        <v>922</v>
      </c>
      <c r="N56" s="412" t="s">
        <v>922</v>
      </c>
      <c r="O56" s="405"/>
      <c r="P56" s="413" t="s">
        <v>922</v>
      </c>
      <c r="Q56" s="413" t="s">
        <v>922</v>
      </c>
      <c r="R56" s="407"/>
      <c r="S56" s="408"/>
    </row>
    <row r="57" spans="1:19" ht="12.75">
      <c r="A57" s="421" t="s">
        <v>967</v>
      </c>
      <c r="B57" s="405"/>
      <c r="C57" s="413" t="s">
        <v>922</v>
      </c>
      <c r="D57" s="413" t="s">
        <v>922</v>
      </c>
      <c r="E57" s="405"/>
      <c r="F57" s="413" t="s">
        <v>922</v>
      </c>
      <c r="G57" s="405"/>
      <c r="H57" s="410" t="s">
        <v>922</v>
      </c>
      <c r="I57" s="414" t="s">
        <v>922</v>
      </c>
      <c r="J57" s="413" t="s">
        <v>922</v>
      </c>
      <c r="K57" s="407"/>
      <c r="L57" s="405"/>
      <c r="M57" s="412" t="s">
        <v>922</v>
      </c>
      <c r="N57" s="412" t="s">
        <v>922</v>
      </c>
      <c r="O57" s="405"/>
      <c r="P57" s="413" t="s">
        <v>922</v>
      </c>
      <c r="Q57" s="413" t="s">
        <v>922</v>
      </c>
      <c r="R57" s="407"/>
      <c r="S57" s="408"/>
    </row>
    <row r="58" spans="1:19" ht="12.75">
      <c r="A58" s="421" t="s">
        <v>968</v>
      </c>
      <c r="B58" s="405"/>
      <c r="C58" s="413" t="s">
        <v>922</v>
      </c>
      <c r="D58" s="413" t="s">
        <v>922</v>
      </c>
      <c r="E58" s="405"/>
      <c r="F58" s="413" t="s">
        <v>922</v>
      </c>
      <c r="G58" s="405"/>
      <c r="H58" s="410" t="s">
        <v>922</v>
      </c>
      <c r="I58" s="414" t="s">
        <v>922</v>
      </c>
      <c r="J58" s="413" t="s">
        <v>922</v>
      </c>
      <c r="K58" s="407"/>
      <c r="L58" s="405"/>
      <c r="M58" s="412" t="s">
        <v>922</v>
      </c>
      <c r="N58" s="412" t="s">
        <v>922</v>
      </c>
      <c r="O58" s="405"/>
      <c r="P58" s="413" t="s">
        <v>922</v>
      </c>
      <c r="Q58" s="413" t="s">
        <v>922</v>
      </c>
      <c r="R58" s="407"/>
      <c r="S58" s="408"/>
    </row>
    <row r="59" spans="1:19" ht="12.75">
      <c r="A59" s="421" t="s">
        <v>969</v>
      </c>
      <c r="B59" s="405"/>
      <c r="C59" s="413" t="s">
        <v>922</v>
      </c>
      <c r="D59" s="413" t="s">
        <v>922</v>
      </c>
      <c r="E59" s="405"/>
      <c r="F59" s="413" t="s">
        <v>922</v>
      </c>
      <c r="G59" s="405"/>
      <c r="H59" s="410" t="s">
        <v>922</v>
      </c>
      <c r="I59" s="414" t="s">
        <v>922</v>
      </c>
      <c r="J59" s="413" t="s">
        <v>922</v>
      </c>
      <c r="K59" s="407"/>
      <c r="L59" s="405"/>
      <c r="M59" s="412" t="s">
        <v>922</v>
      </c>
      <c r="N59" s="412" t="s">
        <v>922</v>
      </c>
      <c r="O59" s="405"/>
      <c r="P59" s="413" t="s">
        <v>922</v>
      </c>
      <c r="Q59" s="413" t="s">
        <v>922</v>
      </c>
      <c r="R59" s="407"/>
      <c r="S59" s="408"/>
    </row>
    <row r="60" spans="1:19" ht="12.75">
      <c r="A60" s="421" t="s">
        <v>970</v>
      </c>
      <c r="B60" s="405"/>
      <c r="C60" s="413" t="s">
        <v>922</v>
      </c>
      <c r="D60" s="413" t="s">
        <v>922</v>
      </c>
      <c r="E60" s="405"/>
      <c r="F60" s="413" t="s">
        <v>922</v>
      </c>
      <c r="G60" s="405"/>
      <c r="H60" s="410" t="s">
        <v>922</v>
      </c>
      <c r="I60" s="414" t="s">
        <v>922</v>
      </c>
      <c r="J60" s="413" t="s">
        <v>922</v>
      </c>
      <c r="K60" s="407"/>
      <c r="L60" s="405"/>
      <c r="M60" s="412" t="s">
        <v>922</v>
      </c>
      <c r="N60" s="412" t="s">
        <v>922</v>
      </c>
      <c r="O60" s="405"/>
      <c r="P60" s="413" t="s">
        <v>922</v>
      </c>
      <c r="Q60" s="413" t="s">
        <v>922</v>
      </c>
      <c r="R60" s="407"/>
      <c r="S60" s="408"/>
    </row>
    <row r="61" spans="1:19" ht="12.75">
      <c r="A61" s="421" t="s">
        <v>971</v>
      </c>
      <c r="B61" s="405"/>
      <c r="C61" s="413" t="s">
        <v>922</v>
      </c>
      <c r="D61" s="413" t="s">
        <v>922</v>
      </c>
      <c r="E61" s="405"/>
      <c r="F61" s="413" t="s">
        <v>922</v>
      </c>
      <c r="G61" s="405"/>
      <c r="H61" s="410" t="s">
        <v>922</v>
      </c>
      <c r="I61" s="414" t="s">
        <v>922</v>
      </c>
      <c r="J61" s="413" t="s">
        <v>922</v>
      </c>
      <c r="K61" s="407"/>
      <c r="L61" s="405"/>
      <c r="M61" s="412" t="s">
        <v>922</v>
      </c>
      <c r="N61" s="412" t="s">
        <v>922</v>
      </c>
      <c r="O61" s="405"/>
      <c r="P61" s="413" t="s">
        <v>922</v>
      </c>
      <c r="Q61" s="413" t="s">
        <v>922</v>
      </c>
      <c r="R61" s="407"/>
      <c r="S61" s="408"/>
    </row>
    <row r="62" spans="1:19" ht="12.75">
      <c r="A62" s="421" t="s">
        <v>972</v>
      </c>
      <c r="B62" s="405"/>
      <c r="C62" s="413" t="s">
        <v>922</v>
      </c>
      <c r="D62" s="413" t="s">
        <v>922</v>
      </c>
      <c r="E62" s="405"/>
      <c r="F62" s="413" t="s">
        <v>922</v>
      </c>
      <c r="G62" s="405"/>
      <c r="H62" s="410" t="s">
        <v>922</v>
      </c>
      <c r="I62" s="414" t="s">
        <v>922</v>
      </c>
      <c r="J62" s="413" t="s">
        <v>922</v>
      </c>
      <c r="K62" s="407"/>
      <c r="L62" s="405"/>
      <c r="M62" s="412" t="s">
        <v>922</v>
      </c>
      <c r="N62" s="412" t="s">
        <v>922</v>
      </c>
      <c r="O62" s="405"/>
      <c r="P62" s="413" t="s">
        <v>922</v>
      </c>
      <c r="Q62" s="413" t="s">
        <v>922</v>
      </c>
      <c r="R62" s="407"/>
      <c r="S62" s="408"/>
    </row>
    <row r="63" spans="1:19" ht="12.75">
      <c r="A63" s="421" t="s">
        <v>973</v>
      </c>
      <c r="B63" s="405"/>
      <c r="C63" s="413" t="s">
        <v>922</v>
      </c>
      <c r="D63" s="413" t="s">
        <v>922</v>
      </c>
      <c r="E63" s="405"/>
      <c r="F63" s="413" t="s">
        <v>922</v>
      </c>
      <c r="G63" s="405"/>
      <c r="H63" s="410" t="s">
        <v>922</v>
      </c>
      <c r="I63" s="414" t="s">
        <v>922</v>
      </c>
      <c r="J63" s="413" t="s">
        <v>922</v>
      </c>
      <c r="K63" s="407"/>
      <c r="L63" s="405"/>
      <c r="M63" s="412" t="s">
        <v>922</v>
      </c>
      <c r="N63" s="412" t="s">
        <v>922</v>
      </c>
      <c r="O63" s="405"/>
      <c r="P63" s="413" t="s">
        <v>922</v>
      </c>
      <c r="Q63" s="413" t="s">
        <v>922</v>
      </c>
      <c r="R63" s="407"/>
      <c r="S63" s="408"/>
    </row>
    <row r="64" spans="1:19" ht="12.75">
      <c r="A64" s="421" t="s">
        <v>974</v>
      </c>
      <c r="B64" s="405"/>
      <c r="C64" s="413" t="s">
        <v>922</v>
      </c>
      <c r="D64" s="413" t="s">
        <v>922</v>
      </c>
      <c r="E64" s="405"/>
      <c r="F64" s="413" t="s">
        <v>922</v>
      </c>
      <c r="G64" s="405"/>
      <c r="H64" s="410" t="s">
        <v>922</v>
      </c>
      <c r="I64" s="414" t="s">
        <v>922</v>
      </c>
      <c r="J64" s="413" t="s">
        <v>922</v>
      </c>
      <c r="K64" s="407"/>
      <c r="L64" s="405"/>
      <c r="M64" s="412" t="s">
        <v>922</v>
      </c>
      <c r="N64" s="412" t="s">
        <v>922</v>
      </c>
      <c r="O64" s="405"/>
      <c r="P64" s="413" t="s">
        <v>922</v>
      </c>
      <c r="Q64" s="413" t="s">
        <v>922</v>
      </c>
      <c r="R64" s="407"/>
      <c r="S64" s="408"/>
    </row>
    <row r="65" spans="1:19" ht="12.75">
      <c r="A65" s="421" t="s">
        <v>975</v>
      </c>
      <c r="B65" s="405"/>
      <c r="C65" s="423" t="s">
        <v>922</v>
      </c>
      <c r="D65" s="413" t="s">
        <v>922</v>
      </c>
      <c r="E65" s="405"/>
      <c r="F65" s="413" t="s">
        <v>922</v>
      </c>
      <c r="G65" s="405"/>
      <c r="H65" s="410" t="s">
        <v>922</v>
      </c>
      <c r="I65" s="414" t="s">
        <v>922</v>
      </c>
      <c r="J65" s="413" t="s">
        <v>922</v>
      </c>
      <c r="K65" s="407"/>
      <c r="L65" s="405"/>
      <c r="M65" s="412" t="s">
        <v>922</v>
      </c>
      <c r="N65" s="412" t="s">
        <v>922</v>
      </c>
      <c r="O65" s="405"/>
      <c r="P65" s="413" t="s">
        <v>922</v>
      </c>
      <c r="Q65" s="413" t="s">
        <v>922</v>
      </c>
      <c r="R65" s="407"/>
      <c r="S65" s="408"/>
    </row>
    <row r="66" spans="1:19" ht="12.75">
      <c r="A66" s="421" t="s">
        <v>976</v>
      </c>
      <c r="B66" s="405"/>
      <c r="C66" s="413" t="s">
        <v>922</v>
      </c>
      <c r="D66" s="413" t="s">
        <v>922</v>
      </c>
      <c r="E66" s="405"/>
      <c r="F66" s="413" t="s">
        <v>922</v>
      </c>
      <c r="G66" s="405"/>
      <c r="H66" s="410" t="s">
        <v>922</v>
      </c>
      <c r="I66" s="414" t="s">
        <v>922</v>
      </c>
      <c r="J66" s="413" t="s">
        <v>922</v>
      </c>
      <c r="K66" s="407"/>
      <c r="L66" s="405"/>
      <c r="M66" s="412" t="s">
        <v>922</v>
      </c>
      <c r="N66" s="412" t="s">
        <v>922</v>
      </c>
      <c r="O66" s="405"/>
      <c r="P66" s="413" t="s">
        <v>922</v>
      </c>
      <c r="Q66" s="413" t="s">
        <v>922</v>
      </c>
      <c r="R66" s="407"/>
      <c r="S66" s="408"/>
    </row>
    <row r="67" spans="1:19" ht="12.75">
      <c r="A67" s="421" t="s">
        <v>977</v>
      </c>
      <c r="B67" s="405"/>
      <c r="C67" s="413" t="s">
        <v>922</v>
      </c>
      <c r="D67" s="413" t="s">
        <v>922</v>
      </c>
      <c r="E67" s="405"/>
      <c r="F67" s="413" t="s">
        <v>922</v>
      </c>
      <c r="G67" s="405"/>
      <c r="H67" s="410" t="s">
        <v>922</v>
      </c>
      <c r="I67" s="414" t="s">
        <v>922</v>
      </c>
      <c r="J67" s="413" t="s">
        <v>922</v>
      </c>
      <c r="K67" s="407"/>
      <c r="L67" s="405"/>
      <c r="M67" s="412" t="s">
        <v>922</v>
      </c>
      <c r="N67" s="412" t="s">
        <v>922</v>
      </c>
      <c r="O67" s="405"/>
      <c r="P67" s="413" t="s">
        <v>922</v>
      </c>
      <c r="Q67" s="413" t="s">
        <v>922</v>
      </c>
      <c r="R67" s="407"/>
      <c r="S67" s="408"/>
    </row>
    <row r="68" spans="1:19" ht="12.75">
      <c r="A68" s="421" t="s">
        <v>978</v>
      </c>
      <c r="B68" s="405"/>
      <c r="C68" s="413" t="s">
        <v>922</v>
      </c>
      <c r="D68" s="413" t="s">
        <v>922</v>
      </c>
      <c r="E68" s="405"/>
      <c r="F68" s="413" t="s">
        <v>922</v>
      </c>
      <c r="G68" s="405"/>
      <c r="H68" s="410" t="s">
        <v>922</v>
      </c>
      <c r="I68" s="414" t="s">
        <v>922</v>
      </c>
      <c r="J68" s="413" t="s">
        <v>922</v>
      </c>
      <c r="K68" s="407"/>
      <c r="L68" s="405"/>
      <c r="M68" s="412" t="s">
        <v>922</v>
      </c>
      <c r="N68" s="412" t="s">
        <v>922</v>
      </c>
      <c r="O68" s="405"/>
      <c r="P68" s="413" t="s">
        <v>922</v>
      </c>
      <c r="Q68" s="413" t="s">
        <v>922</v>
      </c>
      <c r="R68" s="407"/>
      <c r="S68" s="408"/>
    </row>
    <row r="69" spans="1:19" ht="12.75">
      <c r="A69" s="421" t="s">
        <v>979</v>
      </c>
      <c r="B69" s="405"/>
      <c r="C69" s="413" t="s">
        <v>922</v>
      </c>
      <c r="D69" s="413" t="s">
        <v>922</v>
      </c>
      <c r="E69" s="405"/>
      <c r="F69" s="413" t="s">
        <v>922</v>
      </c>
      <c r="G69" s="405"/>
      <c r="H69" s="410" t="s">
        <v>922</v>
      </c>
      <c r="I69" s="414" t="s">
        <v>922</v>
      </c>
      <c r="J69" s="413" t="s">
        <v>922</v>
      </c>
      <c r="K69" s="407"/>
      <c r="L69" s="405"/>
      <c r="M69" s="412" t="s">
        <v>922</v>
      </c>
      <c r="N69" s="412" t="s">
        <v>922</v>
      </c>
      <c r="O69" s="405"/>
      <c r="P69" s="413" t="s">
        <v>922</v>
      </c>
      <c r="Q69" s="413" t="s">
        <v>922</v>
      </c>
      <c r="R69" s="407"/>
      <c r="S69" s="408"/>
    </row>
    <row r="70" spans="1:19" ht="12.75">
      <c r="A70" s="421" t="s">
        <v>980</v>
      </c>
      <c r="B70" s="405"/>
      <c r="C70" s="413" t="s">
        <v>922</v>
      </c>
      <c r="D70" s="413" t="s">
        <v>922</v>
      </c>
      <c r="E70" s="405"/>
      <c r="F70" s="413" t="s">
        <v>922</v>
      </c>
      <c r="G70" s="405"/>
      <c r="H70" s="410" t="s">
        <v>922</v>
      </c>
      <c r="I70" s="414" t="s">
        <v>922</v>
      </c>
      <c r="J70" s="413" t="s">
        <v>922</v>
      </c>
      <c r="K70" s="407"/>
      <c r="L70" s="405"/>
      <c r="M70" s="412" t="s">
        <v>922</v>
      </c>
      <c r="N70" s="412" t="s">
        <v>922</v>
      </c>
      <c r="O70" s="405"/>
      <c r="P70" s="413" t="s">
        <v>922</v>
      </c>
      <c r="Q70" s="413" t="s">
        <v>922</v>
      </c>
      <c r="R70" s="407"/>
      <c r="S70" s="408"/>
    </row>
    <row r="71" spans="1:19" ht="13.5" thickBot="1">
      <c r="A71" s="422" t="s">
        <v>981</v>
      </c>
      <c r="B71" s="406"/>
      <c r="C71" s="415" t="s">
        <v>922</v>
      </c>
      <c r="D71" s="415" t="s">
        <v>922</v>
      </c>
      <c r="E71" s="406"/>
      <c r="F71" s="415" t="s">
        <v>922</v>
      </c>
      <c r="G71" s="406"/>
      <c r="H71" s="411" t="s">
        <v>922</v>
      </c>
      <c r="I71" s="416" t="s">
        <v>922</v>
      </c>
      <c r="J71" s="415" t="s">
        <v>922</v>
      </c>
      <c r="K71" s="407"/>
      <c r="L71" s="406"/>
      <c r="M71" s="417" t="s">
        <v>922</v>
      </c>
      <c r="N71" s="417" t="s">
        <v>922</v>
      </c>
      <c r="O71" s="406"/>
      <c r="P71" s="415" t="s">
        <v>922</v>
      </c>
      <c r="Q71" s="415" t="s">
        <v>922</v>
      </c>
      <c r="R71" s="407"/>
      <c r="S71" s="409"/>
    </row>
    <row r="74" spans="1:19" ht="12.75">
      <c r="A74" s="403"/>
      <c r="B74" s="403"/>
      <c r="C74" s="403"/>
      <c r="D74" s="403"/>
      <c r="E74" s="403"/>
      <c r="F74" s="403"/>
      <c r="G74" s="403"/>
      <c r="H74" s="403"/>
      <c r="I74" s="403"/>
      <c r="J74" s="403"/>
      <c r="K74" s="403"/>
      <c r="L74" s="403"/>
      <c r="M74" s="403"/>
      <c r="N74" s="403"/>
      <c r="O74" s="403"/>
      <c r="P74" s="403"/>
      <c r="Q74" s="403"/>
      <c r="R74" s="403"/>
      <c r="S74" s="439" t="str">
        <f>HYPERLINK(Filename&amp;"page3","page suivante")</f>
        <v>page suivante</v>
      </c>
    </row>
  </sheetData>
  <sheetProtection password="F319" sheet="1" selectLockedCells="1"/>
  <mergeCells count="22">
    <mergeCell ref="A1:S1"/>
    <mergeCell ref="A2:S5"/>
    <mergeCell ref="A6:J6"/>
    <mergeCell ref="N9:N10"/>
    <mergeCell ref="B9:B10"/>
    <mergeCell ref="S9:S10"/>
    <mergeCell ref="F9:F10"/>
    <mergeCell ref="G9:G10"/>
    <mergeCell ref="A7:J7"/>
    <mergeCell ref="Q9:Q10"/>
    <mergeCell ref="L7:S7"/>
    <mergeCell ref="L6:S6"/>
    <mergeCell ref="L9:L10"/>
    <mergeCell ref="M9:M10"/>
    <mergeCell ref="O9:O10"/>
    <mergeCell ref="P9:P10"/>
    <mergeCell ref="C9:C10"/>
    <mergeCell ref="D9:D10"/>
    <mergeCell ref="H9:H10"/>
    <mergeCell ref="I9:I10"/>
    <mergeCell ref="J9:J10"/>
    <mergeCell ref="E9:E10"/>
  </mergeCells>
  <dataValidations count="10">
    <dataValidation type="list" allowBlank="1" showInputMessage="1" sqref="C12:C71">
      <formula1>DDL_Vaccins</formula1>
    </dataValidation>
    <dataValidation type="list" allowBlank="1" showInputMessage="1" showErrorMessage="1" sqref="D12:D71">
      <formula1>DDL_Presentation</formula1>
    </dataValidation>
    <dataValidation type="list" allowBlank="1" showInputMessage="1" showErrorMessage="1" sqref="F12:F71">
      <formula1>DDL_Manuf</formula1>
    </dataValidation>
    <dataValidation type="list" allowBlank="1" showInputMessage="1" showErrorMessage="1" sqref="H12:H71">
      <formula1>DDL_source</formula1>
    </dataValidation>
    <dataValidation type="list" allowBlank="1" showInputMessage="1" showErrorMessage="1" sqref="I12:I71">
      <formula1>DDL_procurement</formula1>
    </dataValidation>
    <dataValidation type="list" allowBlank="1" showInputMessage="1" showErrorMessage="1" sqref="J12:J71">
      <formula1>DDL_length</formula1>
    </dataValidation>
    <dataValidation type="list" allowBlank="1" showInputMessage="1" showErrorMessage="1" sqref="M12:M71">
      <formula1>DDL_currency</formula1>
    </dataValidation>
    <dataValidation type="list" allowBlank="1" showInputMessage="1" showErrorMessage="1" sqref="N12:N71">
      <formula1>DDL_yes_no_unknown</formula1>
    </dataValidation>
    <dataValidation type="list" allowBlank="1" showInputMessage="1" showErrorMessage="1" sqref="P12:P71">
      <formula1>DDL_incoterm</formula1>
    </dataValidation>
    <dataValidation type="list" allowBlank="1" showInputMessage="1" showErrorMessage="1" sqref="Q12:Q71">
      <formula1>DDL_funding</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9" scale="48" r:id="rId1"/>
  <headerFooter>
    <oddFooter>&amp;LOMS/UNICEF JRF données pour 2016
&amp;F&amp;RSection &amp;A, pg.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3"/>
  <sheetViews>
    <sheetView showGridLines="0" showRowColHeaders="0" zoomScaleSheetLayoutView="100" workbookViewId="0" topLeftCell="A1">
      <selection activeCell="G4" sqref="G4:H4"/>
    </sheetView>
  </sheetViews>
  <sheetFormatPr defaultColWidth="9.140625" defaultRowHeight="12.75"/>
  <cols>
    <col min="1" max="1" width="9.140625" style="2" customWidth="1"/>
    <col min="2" max="2" width="23.7109375" style="2" customWidth="1"/>
    <col min="3" max="5" width="12.7109375" style="2" customWidth="1"/>
    <col min="6" max="6" width="14.57421875" style="2" customWidth="1"/>
    <col min="7" max="7" width="13.7109375" style="2" customWidth="1"/>
    <col min="8" max="8" width="18.7109375" style="2" customWidth="1"/>
    <col min="9" max="9" width="13.8515625" style="5" customWidth="1"/>
    <col min="10" max="10" width="14.421875" style="5" customWidth="1"/>
    <col min="11" max="16384" width="9.140625" style="2" customWidth="1"/>
  </cols>
  <sheetData>
    <row r="1" spans="1:8" ht="10.5">
      <c r="A1" s="5"/>
      <c r="B1" s="5"/>
      <c r="C1" s="5"/>
      <c r="D1" s="5"/>
      <c r="E1" s="5"/>
      <c r="F1" s="5"/>
      <c r="G1" s="5"/>
      <c r="H1" s="5"/>
    </row>
    <row r="2" spans="1:10" ht="19.5">
      <c r="A2" s="676" t="s">
        <v>402</v>
      </c>
      <c r="B2" s="542"/>
      <c r="C2" s="542"/>
      <c r="D2" s="542"/>
      <c r="E2" s="542"/>
      <c r="F2" s="542"/>
      <c r="G2" s="542"/>
      <c r="H2" s="542"/>
      <c r="I2" s="176"/>
      <c r="J2" s="176"/>
    </row>
    <row r="3" spans="1:10" s="5" customFormat="1" ht="57.75" customHeight="1" thickBot="1">
      <c r="A3" s="680" t="s">
        <v>837</v>
      </c>
      <c r="B3" s="681"/>
      <c r="C3" s="681"/>
      <c r="D3" s="681"/>
      <c r="E3" s="681"/>
      <c r="F3" s="681"/>
      <c r="G3" s="681"/>
      <c r="H3" s="682"/>
      <c r="I3" s="177"/>
      <c r="J3" s="177"/>
    </row>
    <row r="4" spans="1:8" ht="15" customHeight="1">
      <c r="A4" s="178">
        <v>3000</v>
      </c>
      <c r="B4" s="683" t="s">
        <v>403</v>
      </c>
      <c r="C4" s="683"/>
      <c r="D4" s="683"/>
      <c r="E4" s="683"/>
      <c r="F4" s="683"/>
      <c r="G4" s="668" t="s">
        <v>510</v>
      </c>
      <c r="H4" s="669"/>
    </row>
    <row r="5" spans="1:8" ht="15" customHeight="1">
      <c r="A5" s="179"/>
      <c r="B5" s="688" t="s">
        <v>773</v>
      </c>
      <c r="C5" s="689"/>
      <c r="D5" s="689"/>
      <c r="E5" s="689"/>
      <c r="F5" s="689"/>
      <c r="G5" s="689"/>
      <c r="H5" s="690"/>
    </row>
    <row r="6" spans="1:8" ht="15" customHeight="1">
      <c r="A6" s="179">
        <v>3010</v>
      </c>
      <c r="B6" s="691" t="s">
        <v>405</v>
      </c>
      <c r="C6" s="692"/>
      <c r="D6" s="693"/>
      <c r="E6" s="670" t="s">
        <v>406</v>
      </c>
      <c r="F6" s="671"/>
      <c r="G6" s="672" t="s">
        <v>510</v>
      </c>
      <c r="H6" s="673"/>
    </row>
    <row r="7" spans="1:8" ht="15" customHeight="1">
      <c r="A7" s="179">
        <v>3020</v>
      </c>
      <c r="B7" s="694"/>
      <c r="C7" s="695"/>
      <c r="D7" s="696"/>
      <c r="E7" s="686" t="s">
        <v>407</v>
      </c>
      <c r="F7" s="687"/>
      <c r="G7" s="672" t="s">
        <v>510</v>
      </c>
      <c r="H7" s="673"/>
    </row>
    <row r="8" spans="1:8" ht="15" customHeight="1">
      <c r="A8" s="179">
        <v>3030</v>
      </c>
      <c r="B8" s="694"/>
      <c r="C8" s="695"/>
      <c r="D8" s="696"/>
      <c r="E8" s="686" t="s">
        <v>397</v>
      </c>
      <c r="F8" s="687"/>
      <c r="G8" s="672" t="s">
        <v>510</v>
      </c>
      <c r="H8" s="673"/>
    </row>
    <row r="9" spans="1:8" ht="15" customHeight="1">
      <c r="A9" s="179">
        <v>3040</v>
      </c>
      <c r="B9" s="697"/>
      <c r="C9" s="698"/>
      <c r="D9" s="699"/>
      <c r="E9" s="684" t="s">
        <v>408</v>
      </c>
      <c r="F9" s="685"/>
      <c r="G9" s="672" t="s">
        <v>510</v>
      </c>
      <c r="H9" s="673"/>
    </row>
    <row r="10" spans="1:8" ht="23.25" customHeight="1" thickBot="1">
      <c r="A10" s="180">
        <v>3050</v>
      </c>
      <c r="B10" s="679" t="s">
        <v>409</v>
      </c>
      <c r="C10" s="679"/>
      <c r="D10" s="679"/>
      <c r="E10" s="679"/>
      <c r="F10" s="679"/>
      <c r="G10" s="677" t="s">
        <v>510</v>
      </c>
      <c r="H10" s="678"/>
    </row>
    <row r="11" s="181" customFormat="1" ht="12.75">
      <c r="J11" s="5"/>
    </row>
    <row r="12" s="5" customFormat="1" ht="14.25">
      <c r="A12" s="182" t="s">
        <v>170</v>
      </c>
    </row>
    <row r="13" spans="1:8" ht="13.5" thickBot="1">
      <c r="A13" s="674" t="str">
        <f>HYPERLINK(CONCATENATE(Filename,"Ins3060_3170"),"(Table instructions)")</f>
        <v>(Table instructions)</v>
      </c>
      <c r="B13" s="675"/>
      <c r="C13" s="59"/>
      <c r="D13" s="5"/>
      <c r="E13" s="5"/>
      <c r="F13" s="5"/>
      <c r="G13" s="5"/>
      <c r="H13" s="5"/>
    </row>
    <row r="14" spans="1:10" ht="91.5" customHeight="1">
      <c r="A14" s="700"/>
      <c r="B14" s="605" t="s">
        <v>30</v>
      </c>
      <c r="C14" s="260" t="s">
        <v>410</v>
      </c>
      <c r="D14" s="260" t="s">
        <v>411</v>
      </c>
      <c r="E14" s="260" t="s">
        <v>412</v>
      </c>
      <c r="F14" s="260" t="s">
        <v>413</v>
      </c>
      <c r="G14" s="260" t="s">
        <v>779</v>
      </c>
      <c r="H14" s="260" t="s">
        <v>780</v>
      </c>
      <c r="I14" s="260" t="s">
        <v>774</v>
      </c>
      <c r="J14" s="115" t="s">
        <v>797</v>
      </c>
    </row>
    <row r="15" spans="1:10" ht="15" customHeight="1">
      <c r="A15" s="701"/>
      <c r="B15" s="712"/>
      <c r="C15" s="51" t="str">
        <f>HYPERLINK(CONCATENATE(Filename,"Ins3060_3170A"),"(instructions)")</f>
        <v>(instructions)</v>
      </c>
      <c r="D15" s="51" t="str">
        <f>HYPERLINK(CONCATENATE(Filename,"Ins3060_3170B"),"(instructions)")</f>
        <v>(instructions)</v>
      </c>
      <c r="E15" s="183"/>
      <c r="F15" s="183"/>
      <c r="G15" s="51" t="str">
        <f>HYPERLINK(CONCATENATE(Filename,"Ins3060_3170E"),"(instructions)")</f>
        <v>(instructions)</v>
      </c>
      <c r="H15" s="51" t="str">
        <f>HYPERLINK(CONCATENATE(Filename,"Ins3060_3170F"),"(instructions)")</f>
        <v>(instructions)</v>
      </c>
      <c r="I15" s="51" t="str">
        <f>HYPERLINK(CONCATENATE(Filename,"Ins3060_3170G"),"(instructions)")</f>
        <v>(instructions)</v>
      </c>
      <c r="J15" s="380"/>
    </row>
    <row r="16" spans="1:10" s="5" customFormat="1" ht="21">
      <c r="A16" s="179">
        <v>3060</v>
      </c>
      <c r="B16" s="199"/>
      <c r="C16" s="200"/>
      <c r="D16" s="200"/>
      <c r="E16" s="146" t="s">
        <v>510</v>
      </c>
      <c r="F16" s="146" t="s">
        <v>510</v>
      </c>
      <c r="G16" s="200"/>
      <c r="H16" s="200"/>
      <c r="I16" s="200"/>
      <c r="J16" s="332" t="s">
        <v>510</v>
      </c>
    </row>
    <row r="17" spans="1:10" s="5" customFormat="1" ht="21">
      <c r="A17" s="179">
        <v>3070</v>
      </c>
      <c r="B17" s="199"/>
      <c r="C17" s="200"/>
      <c r="D17" s="200"/>
      <c r="E17" s="146" t="s">
        <v>510</v>
      </c>
      <c r="F17" s="146" t="s">
        <v>510</v>
      </c>
      <c r="G17" s="200"/>
      <c r="H17" s="200"/>
      <c r="I17" s="200"/>
      <c r="J17" s="261" t="s">
        <v>510</v>
      </c>
    </row>
    <row r="18" spans="1:10" s="5" customFormat="1" ht="21">
      <c r="A18" s="179">
        <v>3080</v>
      </c>
      <c r="B18" s="199"/>
      <c r="C18" s="200"/>
      <c r="D18" s="200"/>
      <c r="E18" s="146" t="s">
        <v>510</v>
      </c>
      <c r="F18" s="146" t="s">
        <v>510</v>
      </c>
      <c r="G18" s="200"/>
      <c r="H18" s="200"/>
      <c r="I18" s="200"/>
      <c r="J18" s="261" t="s">
        <v>510</v>
      </c>
    </row>
    <row r="19" spans="1:10" s="5" customFormat="1" ht="21">
      <c r="A19" s="179">
        <v>3090</v>
      </c>
      <c r="B19" s="199"/>
      <c r="C19" s="200"/>
      <c r="D19" s="200"/>
      <c r="E19" s="146" t="s">
        <v>510</v>
      </c>
      <c r="F19" s="146" t="s">
        <v>510</v>
      </c>
      <c r="G19" s="200"/>
      <c r="H19" s="200"/>
      <c r="I19" s="200"/>
      <c r="J19" s="261" t="s">
        <v>510</v>
      </c>
    </row>
    <row r="20" spans="1:10" s="5" customFormat="1" ht="21">
      <c r="A20" s="179">
        <v>3100</v>
      </c>
      <c r="B20" s="199"/>
      <c r="C20" s="200"/>
      <c r="D20" s="200"/>
      <c r="E20" s="146" t="s">
        <v>510</v>
      </c>
      <c r="F20" s="146" t="s">
        <v>510</v>
      </c>
      <c r="G20" s="200"/>
      <c r="H20" s="200"/>
      <c r="I20" s="200"/>
      <c r="J20" s="261" t="s">
        <v>510</v>
      </c>
    </row>
    <row r="21" spans="1:10" s="5" customFormat="1" ht="21">
      <c r="A21" s="179">
        <v>3110</v>
      </c>
      <c r="B21" s="199"/>
      <c r="C21" s="200"/>
      <c r="D21" s="200"/>
      <c r="E21" s="146" t="s">
        <v>510</v>
      </c>
      <c r="F21" s="146" t="s">
        <v>510</v>
      </c>
      <c r="G21" s="200"/>
      <c r="H21" s="200"/>
      <c r="I21" s="200"/>
      <c r="J21" s="261" t="s">
        <v>510</v>
      </c>
    </row>
    <row r="22" spans="1:10" s="5" customFormat="1" ht="21">
      <c r="A22" s="179">
        <v>3120</v>
      </c>
      <c r="B22" s="199"/>
      <c r="C22" s="200"/>
      <c r="D22" s="200"/>
      <c r="E22" s="146" t="s">
        <v>510</v>
      </c>
      <c r="F22" s="146" t="s">
        <v>510</v>
      </c>
      <c r="G22" s="200"/>
      <c r="H22" s="200"/>
      <c r="I22" s="200"/>
      <c r="J22" s="261" t="s">
        <v>510</v>
      </c>
    </row>
    <row r="23" spans="1:10" s="5" customFormat="1" ht="21">
      <c r="A23" s="179">
        <v>3130</v>
      </c>
      <c r="B23" s="199"/>
      <c r="C23" s="200"/>
      <c r="D23" s="200"/>
      <c r="E23" s="146" t="s">
        <v>510</v>
      </c>
      <c r="F23" s="146" t="s">
        <v>510</v>
      </c>
      <c r="G23" s="200"/>
      <c r="H23" s="200"/>
      <c r="I23" s="200"/>
      <c r="J23" s="261" t="s">
        <v>510</v>
      </c>
    </row>
    <row r="24" spans="1:10" s="5" customFormat="1" ht="21">
      <c r="A24" s="179">
        <v>3140</v>
      </c>
      <c r="B24" s="199"/>
      <c r="C24" s="200"/>
      <c r="D24" s="200"/>
      <c r="E24" s="146" t="s">
        <v>510</v>
      </c>
      <c r="F24" s="146" t="s">
        <v>510</v>
      </c>
      <c r="G24" s="200"/>
      <c r="H24" s="200"/>
      <c r="I24" s="200"/>
      <c r="J24" s="261" t="s">
        <v>510</v>
      </c>
    </row>
    <row r="25" spans="1:10" s="5" customFormat="1" ht="21">
      <c r="A25" s="179">
        <v>3150</v>
      </c>
      <c r="B25" s="199"/>
      <c r="C25" s="200"/>
      <c r="D25" s="200"/>
      <c r="E25" s="146" t="s">
        <v>510</v>
      </c>
      <c r="F25" s="146" t="s">
        <v>510</v>
      </c>
      <c r="G25" s="200"/>
      <c r="H25" s="200"/>
      <c r="I25" s="200"/>
      <c r="J25" s="333" t="s">
        <v>510</v>
      </c>
    </row>
    <row r="26" spans="1:10" s="5" customFormat="1" ht="21">
      <c r="A26" s="179">
        <v>3160</v>
      </c>
      <c r="B26" s="199"/>
      <c r="C26" s="200"/>
      <c r="D26" s="200"/>
      <c r="E26" s="146" t="s">
        <v>510</v>
      </c>
      <c r="F26" s="146" t="s">
        <v>510</v>
      </c>
      <c r="G26" s="200"/>
      <c r="H26" s="200"/>
      <c r="I26" s="200"/>
      <c r="J26" s="333" t="s">
        <v>510</v>
      </c>
    </row>
    <row r="27" spans="1:10" s="5" customFormat="1" ht="21.75" thickBot="1">
      <c r="A27" s="180">
        <v>3170</v>
      </c>
      <c r="B27" s="201"/>
      <c r="C27" s="202"/>
      <c r="D27" s="202"/>
      <c r="E27" s="147" t="s">
        <v>510</v>
      </c>
      <c r="F27" s="147" t="s">
        <v>510</v>
      </c>
      <c r="G27" s="202"/>
      <c r="H27" s="202"/>
      <c r="I27" s="202"/>
      <c r="J27" s="334" t="s">
        <v>510</v>
      </c>
    </row>
    <row r="28" spans="1:8" ht="15" customHeight="1">
      <c r="A28" s="5"/>
      <c r="B28" s="5"/>
      <c r="C28" s="5"/>
      <c r="D28" s="5"/>
      <c r="E28" s="5"/>
      <c r="F28" s="5"/>
      <c r="G28" s="5"/>
      <c r="H28" s="5"/>
    </row>
    <row r="29" spans="1:8" s="5" customFormat="1" ht="11.25" customHeight="1" thickBot="1">
      <c r="A29" s="185"/>
      <c r="B29" s="186"/>
      <c r="C29" s="187"/>
      <c r="D29" s="187"/>
      <c r="E29" s="187"/>
      <c r="F29" s="187"/>
      <c r="G29" s="187"/>
      <c r="H29" s="187"/>
    </row>
    <row r="30" spans="1:8" s="5" customFormat="1" ht="11.25" customHeight="1">
      <c r="A30" s="702">
        <v>3180</v>
      </c>
      <c r="B30" s="605" t="s">
        <v>190</v>
      </c>
      <c r="C30" s="706"/>
      <c r="D30" s="706"/>
      <c r="E30" s="706"/>
      <c r="F30" s="706"/>
      <c r="G30" s="706"/>
      <c r="H30" s="707"/>
    </row>
    <row r="31" spans="1:8" s="5" customFormat="1" ht="11.25" customHeight="1">
      <c r="A31" s="703"/>
      <c r="B31" s="606"/>
      <c r="C31" s="708"/>
      <c r="D31" s="708"/>
      <c r="E31" s="708"/>
      <c r="F31" s="708"/>
      <c r="G31" s="708"/>
      <c r="H31" s="709"/>
    </row>
    <row r="32" spans="1:8" s="5" customFormat="1" ht="11.25" customHeight="1" thickBot="1">
      <c r="A32" s="704"/>
      <c r="B32" s="705"/>
      <c r="C32" s="710"/>
      <c r="D32" s="710"/>
      <c r="E32" s="710"/>
      <c r="F32" s="710"/>
      <c r="G32" s="710"/>
      <c r="H32" s="711"/>
    </row>
    <row r="33" spans="8:9" s="5" customFormat="1" ht="10.5">
      <c r="H33" s="150" t="str">
        <f>HYPERLINK(Filename&amp;"page4A","page suivante")</f>
        <v>page suivante</v>
      </c>
      <c r="I33" s="153"/>
    </row>
  </sheetData>
  <sheetProtection password="F079" sheet="1" selectLockedCells="1"/>
  <mergeCells count="22">
    <mergeCell ref="A14:A15"/>
    <mergeCell ref="A30:A32"/>
    <mergeCell ref="B30:B32"/>
    <mergeCell ref="C30:H32"/>
    <mergeCell ref="G8:H8"/>
    <mergeCell ref="B14:B15"/>
    <mergeCell ref="G6:H6"/>
    <mergeCell ref="G7:H7"/>
    <mergeCell ref="E7:F7"/>
    <mergeCell ref="E8:F8"/>
    <mergeCell ref="B5:H5"/>
    <mergeCell ref="B6:D9"/>
    <mergeCell ref="G4:H4"/>
    <mergeCell ref="E6:F6"/>
    <mergeCell ref="G9:H9"/>
    <mergeCell ref="A13:B13"/>
    <mergeCell ref="A2:H2"/>
    <mergeCell ref="G10:H10"/>
    <mergeCell ref="B10:F10"/>
    <mergeCell ref="A3:H3"/>
    <mergeCell ref="B4:F4"/>
    <mergeCell ref="E9:F9"/>
  </mergeCells>
  <dataValidations count="3">
    <dataValidation type="list" allowBlank="1" showErrorMessage="1" error="Merci de choisir une donnée dans la liste." sqref="J16:J27 G6:H10 G4">
      <formula1>DDL_Yes_no</formula1>
    </dataValidation>
    <dataValidation type="list" allowBlank="1" showInputMessage="1" showErrorMessage="1" sqref="F16:F27">
      <formula1>DDL_geo_area</formula1>
    </dataValidation>
    <dataValidation type="list" allowBlank="1" showInputMessage="1" showErrorMessage="1" sqref="E16:E27">
      <formula1>DDL_sex</formula1>
    </dataValidation>
  </dataValidations>
  <printOptions/>
  <pageMargins left="0.984251968503937" right="0.15748031496062992" top="0.984251968503937" bottom="0.984251968503937" header="0.5118110236220472" footer="0.5118110236220472"/>
  <pageSetup fitToHeight="1" fitToWidth="1" horizontalDpi="600" verticalDpi="600" orientation="landscape" scale="72" r:id="rId1"/>
  <headerFooter alignWithMargins="0">
    <oddFooter>&amp;L&amp;"Verdana,Regular"&amp;8OMS/UNICEF JRF données pour 2016
&amp;F&amp;R&amp;"Verdana,Regular"&amp;8Section &amp;A, pg.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I72"/>
  <sheetViews>
    <sheetView showGridLines="0" showRowColHeaders="0" workbookViewId="0" topLeftCell="A1">
      <selection activeCell="A1" sqref="A1"/>
    </sheetView>
  </sheetViews>
  <sheetFormatPr defaultColWidth="9.140625" defaultRowHeight="12.75"/>
  <cols>
    <col min="1" max="1" width="6.421875" style="12" customWidth="1"/>
    <col min="2" max="2" width="42.7109375" style="2" customWidth="1"/>
    <col min="3" max="3" width="13.8515625" style="2" customWidth="1"/>
    <col min="4" max="4" width="14.7109375" style="2" customWidth="1"/>
    <col min="5" max="5" width="14.57421875" style="2" customWidth="1"/>
    <col min="6" max="6" width="19.57421875" style="2" customWidth="1"/>
    <col min="7" max="7" width="20.8515625" style="2" customWidth="1"/>
    <col min="8" max="8" width="17.28125" style="2" customWidth="1"/>
    <col min="9" max="16384" width="9.140625" style="2" customWidth="1"/>
  </cols>
  <sheetData>
    <row r="1" ht="15" customHeight="1"/>
    <row r="2" spans="1:8" ht="22.5" customHeight="1">
      <c r="A2" s="720" t="s">
        <v>499</v>
      </c>
      <c r="B2" s="720"/>
      <c r="C2" s="720"/>
      <c r="D2" s="720"/>
      <c r="E2" s="720"/>
      <c r="F2" s="720"/>
      <c r="G2" s="720"/>
      <c r="H2" s="720"/>
    </row>
    <row r="3" spans="1:8" ht="22.5" customHeight="1">
      <c r="A3" s="721" t="s">
        <v>982</v>
      </c>
      <c r="B3" s="721"/>
      <c r="C3" s="721"/>
      <c r="D3" s="721"/>
      <c r="E3" s="721"/>
      <c r="F3" s="721"/>
      <c r="G3" s="721"/>
      <c r="H3" s="721"/>
    </row>
    <row r="5" spans="1:2" ht="21" customHeight="1">
      <c r="A5" s="132" t="s">
        <v>775</v>
      </c>
      <c r="B5" s="83"/>
    </row>
    <row r="6" spans="1:3" ht="15" customHeight="1" thickBot="1">
      <c r="A6" s="722" t="str">
        <f>HYPERLINK(CONCATENATE(Filename,"Ins4010_4240"),"(Table instructions)")</f>
        <v>(Table instructions)</v>
      </c>
      <c r="B6" s="722"/>
      <c r="C6" s="59"/>
    </row>
    <row r="7" spans="1:9" ht="18" customHeight="1">
      <c r="A7" s="626"/>
      <c r="B7" s="724" t="s">
        <v>500</v>
      </c>
      <c r="C7" s="725"/>
      <c r="D7" s="92" t="s">
        <v>80</v>
      </c>
      <c r="E7" s="156"/>
      <c r="F7" s="39" t="s">
        <v>81</v>
      </c>
      <c r="G7" s="42" t="s">
        <v>49</v>
      </c>
      <c r="H7" s="122" t="s">
        <v>50</v>
      </c>
      <c r="I7" s="13"/>
    </row>
    <row r="8" spans="1:9" ht="65.25" customHeight="1">
      <c r="A8" s="561"/>
      <c r="B8" s="726" t="s">
        <v>504</v>
      </c>
      <c r="C8" s="727"/>
      <c r="D8" s="728" t="s">
        <v>501</v>
      </c>
      <c r="E8" s="729"/>
      <c r="F8" s="118" t="s">
        <v>502</v>
      </c>
      <c r="G8" s="166" t="s">
        <v>14</v>
      </c>
      <c r="H8" s="123" t="s">
        <v>503</v>
      </c>
      <c r="I8" s="13"/>
    </row>
    <row r="9" spans="1:9" ht="12" customHeight="1">
      <c r="A9" s="562"/>
      <c r="B9" s="94"/>
      <c r="C9" s="90"/>
      <c r="D9" s="602" t="str">
        <f>HYPERLINK(CONCATENATE(Filename,"Ins4010_4240_A"),"(instructions)")</f>
        <v>(instructions)</v>
      </c>
      <c r="E9" s="723"/>
      <c r="F9" s="299" t="str">
        <f>HYPERLINK(CONCATENATE(Filename,"Ins4010_4240_B"),"(instructions)")</f>
        <v>(instructions)</v>
      </c>
      <c r="G9" s="157"/>
      <c r="H9" s="95"/>
      <c r="I9" s="13"/>
    </row>
    <row r="10" spans="1:8" ht="21" customHeight="1">
      <c r="A10" s="89">
        <v>4010</v>
      </c>
      <c r="B10" s="753" t="s">
        <v>52</v>
      </c>
      <c r="C10" s="640"/>
      <c r="D10" s="715" t="s">
        <v>718</v>
      </c>
      <c r="E10" s="716"/>
      <c r="F10" s="93"/>
      <c r="G10" s="93"/>
      <c r="H10" s="240"/>
    </row>
    <row r="11" spans="1:8" ht="21" customHeight="1">
      <c r="A11" s="18">
        <v>4020</v>
      </c>
      <c r="B11" s="77" t="s">
        <v>505</v>
      </c>
      <c r="C11" s="75" t="str">
        <f>HYPERLINK(CONCATENATE(Filename,"Ins4020"),"(instructions)")</f>
        <v>(instructions)</v>
      </c>
      <c r="D11" s="715" t="s">
        <v>718</v>
      </c>
      <c r="E11" s="716"/>
      <c r="F11" s="117"/>
      <c r="G11" s="52"/>
      <c r="H11" s="119"/>
    </row>
    <row r="12" spans="1:8" ht="21">
      <c r="A12" s="18">
        <v>4030</v>
      </c>
      <c r="B12" s="77" t="s">
        <v>1402</v>
      </c>
      <c r="C12" s="75" t="str">
        <f>HYPERLINK(CONCATENATE(Filename,"Ins4030"),"(instructions)")</f>
        <v>(instructions)</v>
      </c>
      <c r="D12" s="715" t="s">
        <v>718</v>
      </c>
      <c r="E12" s="716"/>
      <c r="F12" s="117"/>
      <c r="G12" s="52"/>
      <c r="H12" s="119"/>
    </row>
    <row r="13" spans="1:8" ht="21" customHeight="1">
      <c r="A13" s="18">
        <v>4040</v>
      </c>
      <c r="B13" s="514" t="s">
        <v>506</v>
      </c>
      <c r="C13" s="545"/>
      <c r="D13" s="715" t="s">
        <v>593</v>
      </c>
      <c r="E13" s="716"/>
      <c r="F13" s="117"/>
      <c r="G13" s="52"/>
      <c r="H13" s="119"/>
    </row>
    <row r="14" spans="1:8" ht="21" customHeight="1">
      <c r="A14" s="18">
        <v>4050</v>
      </c>
      <c r="B14" s="514" t="s">
        <v>507</v>
      </c>
      <c r="C14" s="545"/>
      <c r="D14" s="715" t="s">
        <v>593</v>
      </c>
      <c r="E14" s="716"/>
      <c r="F14" s="117"/>
      <c r="G14" s="52"/>
      <c r="H14" s="119"/>
    </row>
    <row r="15" spans="1:8" ht="21" customHeight="1">
      <c r="A15" s="18">
        <v>4060</v>
      </c>
      <c r="B15" s="591" t="s">
        <v>812</v>
      </c>
      <c r="C15" s="592"/>
      <c r="D15" s="713" t="s">
        <v>813</v>
      </c>
      <c r="E15" s="714"/>
      <c r="F15" s="117"/>
      <c r="G15" s="52"/>
      <c r="H15" s="119"/>
    </row>
    <row r="16" spans="1:8" ht="21" customHeight="1">
      <c r="A16" s="18">
        <v>4070</v>
      </c>
      <c r="B16" s="591" t="s">
        <v>814</v>
      </c>
      <c r="C16" s="592"/>
      <c r="D16" s="715" t="s">
        <v>593</v>
      </c>
      <c r="E16" s="716"/>
      <c r="F16" s="117"/>
      <c r="G16" s="52"/>
      <c r="H16" s="119"/>
    </row>
    <row r="17" spans="1:8" ht="21" customHeight="1">
      <c r="A17" s="18">
        <v>4080</v>
      </c>
      <c r="B17" s="77" t="s">
        <v>508</v>
      </c>
      <c r="C17" s="75" t="str">
        <f>HYPERLINK(CONCATENATE(Filename,"Ins4080"),"(instructions)")</f>
        <v>(instructions)</v>
      </c>
      <c r="D17" s="715" t="s">
        <v>593</v>
      </c>
      <c r="E17" s="716"/>
      <c r="F17" s="117"/>
      <c r="G17" s="52"/>
      <c r="H17" s="119"/>
    </row>
    <row r="18" spans="1:8" ht="21" customHeight="1">
      <c r="A18" s="18">
        <v>4090</v>
      </c>
      <c r="B18" s="77" t="s">
        <v>64</v>
      </c>
      <c r="C18" s="75" t="str">
        <f>HYPERLINK(CONCATENATE(Filename,"Ins4090"),"(instructions)")</f>
        <v>(instructions)</v>
      </c>
      <c r="D18" s="715" t="s">
        <v>593</v>
      </c>
      <c r="E18" s="716"/>
      <c r="F18" s="117"/>
      <c r="G18" s="52"/>
      <c r="H18" s="119"/>
    </row>
    <row r="19" spans="1:8" ht="21" customHeight="1">
      <c r="A19" s="18">
        <v>4100</v>
      </c>
      <c r="B19" s="514" t="s">
        <v>65</v>
      </c>
      <c r="C19" s="545"/>
      <c r="D19" s="715" t="s">
        <v>593</v>
      </c>
      <c r="E19" s="716"/>
      <c r="F19" s="117"/>
      <c r="G19" s="52"/>
      <c r="H19" s="119"/>
    </row>
    <row r="20" spans="1:8" s="57" customFormat="1" ht="21" customHeight="1">
      <c r="A20" s="89">
        <v>4110</v>
      </c>
      <c r="B20" s="514" t="s">
        <v>415</v>
      </c>
      <c r="C20" s="545"/>
      <c r="D20" s="715" t="s">
        <v>593</v>
      </c>
      <c r="E20" s="716"/>
      <c r="F20" s="117"/>
      <c r="G20" s="117"/>
      <c r="H20" s="241"/>
    </row>
    <row r="21" spans="1:8" s="57" customFormat="1" ht="21" customHeight="1">
      <c r="A21" s="89">
        <v>4120</v>
      </c>
      <c r="B21" s="514" t="s">
        <v>776</v>
      </c>
      <c r="C21" s="545"/>
      <c r="D21" s="715" t="s">
        <v>593</v>
      </c>
      <c r="E21" s="716"/>
      <c r="F21" s="116"/>
      <c r="G21" s="116"/>
      <c r="H21" s="309"/>
    </row>
    <row r="22" spans="1:8" s="57" customFormat="1" ht="21" customHeight="1">
      <c r="A22" s="310">
        <v>4130</v>
      </c>
      <c r="B22" s="514" t="s">
        <v>416</v>
      </c>
      <c r="C22" s="545"/>
      <c r="D22" s="715" t="s">
        <v>593</v>
      </c>
      <c r="E22" s="716"/>
      <c r="F22" s="117"/>
      <c r="G22" s="117"/>
      <c r="H22" s="241"/>
    </row>
    <row r="23" spans="1:8" s="57" customFormat="1" ht="21" customHeight="1">
      <c r="A23" s="310">
        <v>4140</v>
      </c>
      <c r="B23" s="514" t="s">
        <v>417</v>
      </c>
      <c r="C23" s="545"/>
      <c r="D23" s="715" t="s">
        <v>593</v>
      </c>
      <c r="E23" s="716"/>
      <c r="F23" s="117"/>
      <c r="G23" s="117"/>
      <c r="H23" s="241"/>
    </row>
    <row r="24" spans="1:8" s="57" customFormat="1" ht="29.25" customHeight="1">
      <c r="A24" s="310">
        <v>4150</v>
      </c>
      <c r="B24" s="514" t="s">
        <v>418</v>
      </c>
      <c r="C24" s="545"/>
      <c r="D24" s="715" t="s">
        <v>593</v>
      </c>
      <c r="E24" s="716"/>
      <c r="F24" s="117"/>
      <c r="G24" s="117"/>
      <c r="H24" s="241"/>
    </row>
    <row r="25" spans="1:8" ht="21">
      <c r="A25" s="310">
        <v>4160</v>
      </c>
      <c r="B25" s="77" t="s">
        <v>815</v>
      </c>
      <c r="C25" s="252"/>
      <c r="D25" s="715" t="s">
        <v>593</v>
      </c>
      <c r="E25" s="716"/>
      <c r="F25" s="117"/>
      <c r="G25" s="52"/>
      <c r="H25" s="119"/>
    </row>
    <row r="26" spans="1:8" ht="21" customHeight="1">
      <c r="A26" s="310">
        <v>4170</v>
      </c>
      <c r="B26" s="251" t="s">
        <v>1030</v>
      </c>
      <c r="C26" s="438" t="str">
        <f>HYPERLINK(CONCATENATE(Filename,"Ins4160_4180"),"(instructions)")</f>
        <v>(instructions)</v>
      </c>
      <c r="D26" s="713" t="s">
        <v>813</v>
      </c>
      <c r="E26" s="714"/>
      <c r="F26" s="117"/>
      <c r="G26" s="52"/>
      <c r="H26" s="119"/>
    </row>
    <row r="27" spans="1:8" ht="36.75" customHeight="1">
      <c r="A27" s="310">
        <v>4180</v>
      </c>
      <c r="B27" s="251" t="s">
        <v>816</v>
      </c>
      <c r="C27" s="253"/>
      <c r="D27" s="713" t="s">
        <v>813</v>
      </c>
      <c r="E27" s="714"/>
      <c r="F27" s="117"/>
      <c r="G27" s="52"/>
      <c r="H27" s="119"/>
    </row>
    <row r="28" spans="1:8" ht="21" customHeight="1">
      <c r="A28" s="310">
        <v>4190</v>
      </c>
      <c r="B28" s="514" t="s">
        <v>515</v>
      </c>
      <c r="C28" s="545"/>
      <c r="D28" s="715" t="s">
        <v>593</v>
      </c>
      <c r="E28" s="716"/>
      <c r="F28" s="117"/>
      <c r="G28" s="52"/>
      <c r="H28" s="119"/>
    </row>
    <row r="29" spans="1:8" ht="21" customHeight="1">
      <c r="A29" s="310">
        <v>4200</v>
      </c>
      <c r="B29" s="591" t="s">
        <v>1403</v>
      </c>
      <c r="C29" s="592"/>
      <c r="D29" s="715" t="s">
        <v>593</v>
      </c>
      <c r="E29" s="716"/>
      <c r="F29" s="117"/>
      <c r="G29" s="52"/>
      <c r="H29" s="119"/>
    </row>
    <row r="30" spans="1:8" ht="21" customHeight="1">
      <c r="A30" s="310">
        <v>4210</v>
      </c>
      <c r="B30" s="514" t="s">
        <v>516</v>
      </c>
      <c r="C30" s="545" t="s">
        <v>517</v>
      </c>
      <c r="D30" s="715" t="s">
        <v>594</v>
      </c>
      <c r="E30" s="716"/>
      <c r="F30" s="116"/>
      <c r="G30" s="63"/>
      <c r="H30" s="120"/>
    </row>
    <row r="31" spans="1:8" ht="21" customHeight="1">
      <c r="A31" s="310">
        <v>4220</v>
      </c>
      <c r="B31" s="514" t="s">
        <v>518</v>
      </c>
      <c r="C31" s="545"/>
      <c r="D31" s="751" t="s">
        <v>813</v>
      </c>
      <c r="E31" s="752"/>
      <c r="F31" s="116"/>
      <c r="G31" s="63"/>
      <c r="H31" s="120"/>
    </row>
    <row r="32" spans="1:8" ht="27" customHeight="1">
      <c r="A32" s="310">
        <v>4230</v>
      </c>
      <c r="B32" s="514" t="s">
        <v>817</v>
      </c>
      <c r="C32" s="545"/>
      <c r="D32" s="162" t="s">
        <v>596</v>
      </c>
      <c r="E32" s="91" t="str">
        <f>HYPERLINK(CONCATENATE(Filename,"Ins4230"),"(instructions)")</f>
        <v>(instructions)</v>
      </c>
      <c r="F32" s="116"/>
      <c r="G32" s="63"/>
      <c r="H32" s="120"/>
    </row>
    <row r="33" spans="1:8" ht="23.25" customHeight="1" thickBot="1">
      <c r="A33" s="311">
        <v>4240</v>
      </c>
      <c r="B33" s="127" t="s">
        <v>519</v>
      </c>
      <c r="C33" s="302" t="str">
        <f>HYPERLINK(CONCATENATE(Filename,"Ins4240"),"(instructions)")</f>
        <v>(instructions)</v>
      </c>
      <c r="D33" s="762" t="s">
        <v>718</v>
      </c>
      <c r="E33" s="763"/>
      <c r="F33" s="308"/>
      <c r="G33" s="47"/>
      <c r="H33" s="121"/>
    </row>
    <row r="34" ht="11.25" thickBot="1"/>
    <row r="35" spans="1:8" ht="52.5" customHeight="1">
      <c r="A35" s="424">
        <v>4250</v>
      </c>
      <c r="B35" s="766" t="s">
        <v>1404</v>
      </c>
      <c r="C35" s="766"/>
      <c r="D35" s="766"/>
      <c r="E35" s="766"/>
      <c r="F35" s="256" t="str">
        <f>HYPERLINK(CONCATENATE(Filename,"Ins4250"),"(instructions)")</f>
        <v>(instructions)</v>
      </c>
      <c r="G35" s="431" t="s">
        <v>1310</v>
      </c>
      <c r="H35" s="432" t="s">
        <v>1020</v>
      </c>
    </row>
    <row r="36" spans="1:8" ht="60.75" customHeight="1">
      <c r="A36" s="425">
        <v>4260</v>
      </c>
      <c r="B36" s="767" t="s">
        <v>1524</v>
      </c>
      <c r="C36" s="743" t="s">
        <v>1525</v>
      </c>
      <c r="D36" s="744"/>
      <c r="E36" s="744"/>
      <c r="F36" s="75" t="str">
        <f>HYPERLINK(CONCATENATE(Filename,"Ins4260"),"(instructions)")</f>
        <v>(instructions)</v>
      </c>
      <c r="G36" s="426"/>
      <c r="H36" s="427" t="s">
        <v>1020</v>
      </c>
    </row>
    <row r="37" spans="1:8" ht="49.5" customHeight="1" thickBot="1">
      <c r="A37" s="364">
        <v>4270</v>
      </c>
      <c r="B37" s="768"/>
      <c r="C37" s="764" t="s">
        <v>1526</v>
      </c>
      <c r="D37" s="765"/>
      <c r="E37" s="765"/>
      <c r="F37" s="430" t="str">
        <f>HYPERLINK(CONCATENATE(Filename,"Ins4270"),"(instructions)")</f>
        <v>(instructions)</v>
      </c>
      <c r="G37" s="428"/>
      <c r="H37" s="429" t="s">
        <v>1020</v>
      </c>
    </row>
    <row r="39" spans="1:8" ht="15" customHeight="1">
      <c r="A39" s="131" t="s">
        <v>520</v>
      </c>
      <c r="H39" s="152"/>
    </row>
    <row r="40" spans="1:8" ht="15" customHeight="1" thickBot="1">
      <c r="A40" s="150" t="str">
        <f>HYPERLINK(CONCATENATE(Filename,"Ins4280_4300"),"(Table instructions)")</f>
        <v>(Table instructions)</v>
      </c>
      <c r="H40" s="152"/>
    </row>
    <row r="41" spans="1:8" ht="33" customHeight="1">
      <c r="A41" s="561">
        <v>4280</v>
      </c>
      <c r="B41" s="730" t="s">
        <v>600</v>
      </c>
      <c r="C41" s="731"/>
      <c r="D41" s="731"/>
      <c r="E41" s="731"/>
      <c r="F41" s="731"/>
      <c r="G41" s="731"/>
      <c r="H41" s="732"/>
    </row>
    <row r="42" spans="1:8" ht="72.75" customHeight="1">
      <c r="A42" s="562"/>
      <c r="B42" s="759"/>
      <c r="C42" s="760"/>
      <c r="D42" s="760"/>
      <c r="E42" s="760"/>
      <c r="F42" s="760"/>
      <c r="G42" s="760"/>
      <c r="H42" s="761"/>
    </row>
    <row r="43" spans="1:8" ht="24.75" customHeight="1">
      <c r="A43" s="559">
        <v>4290</v>
      </c>
      <c r="B43" s="748" t="s">
        <v>983</v>
      </c>
      <c r="C43" s="749"/>
      <c r="D43" s="749"/>
      <c r="E43" s="749"/>
      <c r="F43" s="749"/>
      <c r="G43" s="749"/>
      <c r="H43" s="750"/>
    </row>
    <row r="44" spans="1:8" ht="72.75" customHeight="1">
      <c r="A44" s="562"/>
      <c r="B44" s="759"/>
      <c r="C44" s="760"/>
      <c r="D44" s="760"/>
      <c r="E44" s="760"/>
      <c r="F44" s="760"/>
      <c r="G44" s="760"/>
      <c r="H44" s="761"/>
    </row>
    <row r="45" spans="1:8" ht="25.5" customHeight="1">
      <c r="A45" s="736">
        <v>4300</v>
      </c>
      <c r="B45" s="754" t="s">
        <v>818</v>
      </c>
      <c r="C45" s="755"/>
      <c r="D45" s="755"/>
      <c r="E45" s="755"/>
      <c r="F45" s="755"/>
      <c r="G45" s="755"/>
      <c r="H45" s="756"/>
    </row>
    <row r="46" spans="1:8" ht="84" customHeight="1" thickBot="1">
      <c r="A46" s="737"/>
      <c r="B46" s="733"/>
      <c r="C46" s="734"/>
      <c r="D46" s="757"/>
      <c r="E46" s="757"/>
      <c r="F46" s="757"/>
      <c r="G46" s="757"/>
      <c r="H46" s="758"/>
    </row>
    <row r="47" spans="1:8" ht="12.75">
      <c r="A47" s="270"/>
      <c r="B47" s="271"/>
      <c r="C47" s="247"/>
      <c r="D47" s="247"/>
      <c r="E47" s="247"/>
      <c r="F47" s="266"/>
      <c r="G47" s="266"/>
      <c r="H47" s="266"/>
    </row>
    <row r="48" spans="1:8" ht="15" customHeight="1">
      <c r="A48" s="131" t="s">
        <v>777</v>
      </c>
      <c r="H48" s="152"/>
    </row>
    <row r="49" spans="1:8" ht="15" customHeight="1" thickBot="1">
      <c r="A49" s="439" t="str">
        <f>HYPERLINK(CONCATENATE(Filename,"Ins4310_4320"),"(Table instructions)")</f>
        <v>(Table instructions)</v>
      </c>
      <c r="H49" s="152"/>
    </row>
    <row r="50" spans="1:8" ht="26.25" customHeight="1">
      <c r="A50" s="198">
        <v>4310</v>
      </c>
      <c r="B50" s="717" t="s">
        <v>984</v>
      </c>
      <c r="C50" s="718"/>
      <c r="D50" s="718"/>
      <c r="E50" s="718"/>
      <c r="F50" s="718"/>
      <c r="G50" s="719"/>
      <c r="H50" s="45"/>
    </row>
    <row r="51" spans="1:8" ht="25.5" customHeight="1" thickBot="1">
      <c r="A51" s="96">
        <v>4320</v>
      </c>
      <c r="B51" s="745" t="s">
        <v>985</v>
      </c>
      <c r="C51" s="746"/>
      <c r="D51" s="746"/>
      <c r="E51" s="746"/>
      <c r="F51" s="746"/>
      <c r="G51" s="747"/>
      <c r="H51" s="46"/>
    </row>
    <row r="52" spans="1:8" ht="22.5" customHeight="1">
      <c r="A52" s="185"/>
      <c r="B52" s="159"/>
      <c r="C52" s="159"/>
      <c r="D52" s="312"/>
      <c r="E52" s="312"/>
      <c r="F52" s="312"/>
      <c r="G52" s="312"/>
      <c r="H52" s="312"/>
    </row>
    <row r="53" spans="1:8" ht="15">
      <c r="A53" s="264" t="s">
        <v>1530</v>
      </c>
      <c r="B53" s="265"/>
      <c r="C53" s="265"/>
      <c r="D53" s="265"/>
      <c r="E53" s="266"/>
      <c r="F53" s="266"/>
      <c r="G53" s="266"/>
      <c r="H53" s="266"/>
    </row>
    <row r="54" spans="1:8" ht="13.5" thickBot="1">
      <c r="A54" s="742" t="str">
        <f>HYPERLINK(CONCATENATE(Filename,"Ins_HPV"),"(Table instructions)")</f>
        <v>(Table instructions)</v>
      </c>
      <c r="B54" s="742"/>
      <c r="C54" s="267"/>
      <c r="D54" s="267"/>
      <c r="E54" s="266"/>
      <c r="F54" s="266"/>
      <c r="G54" s="266"/>
      <c r="H54" s="266"/>
    </row>
    <row r="55" spans="1:8" ht="12.75">
      <c r="A55" s="277"/>
      <c r="B55" s="740" t="s">
        <v>457</v>
      </c>
      <c r="C55" s="740"/>
      <c r="D55" s="740"/>
      <c r="E55" s="741"/>
      <c r="F55" s="266"/>
      <c r="G55" s="266"/>
      <c r="H55" s="266"/>
    </row>
    <row r="56" spans="1:8" ht="21.75">
      <c r="A56" s="278"/>
      <c r="B56" s="276" t="s">
        <v>798</v>
      </c>
      <c r="C56" s="276" t="s">
        <v>1527</v>
      </c>
      <c r="D56" s="276" t="s">
        <v>1528</v>
      </c>
      <c r="E56" s="496" t="s">
        <v>1529</v>
      </c>
      <c r="F56" s="266"/>
      <c r="G56" s="266"/>
      <c r="H56" s="266"/>
    </row>
    <row r="57" spans="1:8" ht="15.75" customHeight="1">
      <c r="A57" s="300">
        <v>4330</v>
      </c>
      <c r="B57" s="268">
        <v>9</v>
      </c>
      <c r="C57" s="269"/>
      <c r="D57" s="269"/>
      <c r="E57" s="272"/>
      <c r="F57" s="266"/>
      <c r="G57" s="266"/>
      <c r="H57" s="266"/>
    </row>
    <row r="58" spans="1:8" ht="15.75" customHeight="1">
      <c r="A58" s="300">
        <v>4340</v>
      </c>
      <c r="B58" s="268">
        <v>10</v>
      </c>
      <c r="C58" s="269"/>
      <c r="D58" s="269"/>
      <c r="E58" s="272"/>
      <c r="F58" s="266"/>
      <c r="G58" s="266"/>
      <c r="H58" s="266"/>
    </row>
    <row r="59" spans="1:8" ht="15.75" customHeight="1">
      <c r="A59" s="300">
        <v>4350</v>
      </c>
      <c r="B59" s="268">
        <v>11</v>
      </c>
      <c r="C59" s="269"/>
      <c r="D59" s="269"/>
      <c r="E59" s="272"/>
      <c r="F59" s="266"/>
      <c r="G59" s="266"/>
      <c r="H59" s="266"/>
    </row>
    <row r="60" spans="1:8" ht="15.75" customHeight="1">
      <c r="A60" s="300">
        <v>4360</v>
      </c>
      <c r="B60" s="268">
        <v>12</v>
      </c>
      <c r="C60" s="269"/>
      <c r="D60" s="269"/>
      <c r="E60" s="272"/>
      <c r="F60" s="266"/>
      <c r="G60" s="266"/>
      <c r="H60" s="266"/>
    </row>
    <row r="61" spans="1:8" ht="15.75" customHeight="1">
      <c r="A61" s="300">
        <v>4370</v>
      </c>
      <c r="B61" s="268">
        <v>13</v>
      </c>
      <c r="C61" s="269"/>
      <c r="D61" s="269"/>
      <c r="E61" s="272"/>
      <c r="F61" s="266"/>
      <c r="G61" s="266"/>
      <c r="H61" s="266"/>
    </row>
    <row r="62" spans="1:8" ht="15.75" customHeight="1">
      <c r="A62" s="300">
        <v>4380</v>
      </c>
      <c r="B62" s="268">
        <v>14</v>
      </c>
      <c r="C62" s="269"/>
      <c r="D62" s="269"/>
      <c r="E62" s="272"/>
      <c r="F62" s="266"/>
      <c r="G62" s="266"/>
      <c r="H62" s="266"/>
    </row>
    <row r="63" spans="1:8" ht="15.75" customHeight="1">
      <c r="A63" s="300">
        <v>4390</v>
      </c>
      <c r="B63" s="268" t="s">
        <v>569</v>
      </c>
      <c r="C63" s="269"/>
      <c r="D63" s="269"/>
      <c r="E63" s="272"/>
      <c r="F63" s="266"/>
      <c r="G63" s="266"/>
      <c r="H63" s="266"/>
    </row>
    <row r="64" spans="1:8" ht="15.75" customHeight="1" thickBot="1">
      <c r="A64" s="301">
        <v>4400</v>
      </c>
      <c r="B64" s="273" t="s">
        <v>570</v>
      </c>
      <c r="C64" s="274"/>
      <c r="D64" s="274"/>
      <c r="E64" s="275"/>
      <c r="F64" s="266"/>
      <c r="G64" s="266"/>
      <c r="H64" s="266"/>
    </row>
    <row r="65" spans="1:5" ht="37.5" customHeight="1">
      <c r="A65" s="738" t="s">
        <v>885</v>
      </c>
      <c r="B65" s="738"/>
      <c r="C65" s="738"/>
      <c r="D65" s="738"/>
      <c r="E65" s="738"/>
    </row>
    <row r="66" spans="1:5" ht="10.5">
      <c r="A66" s="739"/>
      <c r="B66" s="739"/>
      <c r="C66" s="739"/>
      <c r="D66" s="739"/>
      <c r="E66" s="739"/>
    </row>
    <row r="67" spans="1:8" ht="21.75" customHeight="1" thickBot="1">
      <c r="A67" s="131" t="s">
        <v>1480</v>
      </c>
      <c r="H67" s="152"/>
    </row>
    <row r="68" spans="1:8" ht="33" customHeight="1">
      <c r="A68" s="626">
        <v>4410</v>
      </c>
      <c r="B68" s="730" t="s">
        <v>778</v>
      </c>
      <c r="C68" s="731"/>
      <c r="D68" s="731"/>
      <c r="E68" s="731"/>
      <c r="F68" s="731"/>
      <c r="G68" s="731"/>
      <c r="H68" s="732"/>
    </row>
    <row r="69" spans="1:8" ht="72.75" customHeight="1" thickBot="1">
      <c r="A69" s="560"/>
      <c r="B69" s="733"/>
      <c r="C69" s="734"/>
      <c r="D69" s="734"/>
      <c r="E69" s="734"/>
      <c r="F69" s="734"/>
      <c r="G69" s="734"/>
      <c r="H69" s="735"/>
    </row>
    <row r="72" ht="409.5">
      <c r="H72" s="150" t="str">
        <f>HYPERLINK(Filename&amp;"page4b","Page suivante")</f>
        <v>Page suivante</v>
      </c>
    </row>
  </sheetData>
  <sheetProtection selectLockedCells="1"/>
  <mergeCells count="68">
    <mergeCell ref="B13:C13"/>
    <mergeCell ref="D19:E19"/>
    <mergeCell ref="D30:E30"/>
    <mergeCell ref="D15:E15"/>
    <mergeCell ref="B16:C16"/>
    <mergeCell ref="B15:C15"/>
    <mergeCell ref="D14:E14"/>
    <mergeCell ref="D21:E21"/>
    <mergeCell ref="D17:E17"/>
    <mergeCell ref="D16:E16"/>
    <mergeCell ref="B36:B37"/>
    <mergeCell ref="B30:C30"/>
    <mergeCell ref="D11:E11"/>
    <mergeCell ref="B29:C29"/>
    <mergeCell ref="D29:E29"/>
    <mergeCell ref="B21:C21"/>
    <mergeCell ref="D13:E13"/>
    <mergeCell ref="D12:E12"/>
    <mergeCell ref="B20:C20"/>
    <mergeCell ref="A43:A44"/>
    <mergeCell ref="B44:H44"/>
    <mergeCell ref="A41:A42"/>
    <mergeCell ref="B28:C28"/>
    <mergeCell ref="D33:E33"/>
    <mergeCell ref="B42:H42"/>
    <mergeCell ref="B31:C31"/>
    <mergeCell ref="C37:E37"/>
    <mergeCell ref="B35:E35"/>
    <mergeCell ref="B51:G51"/>
    <mergeCell ref="B43:H43"/>
    <mergeCell ref="D31:E31"/>
    <mergeCell ref="B10:C10"/>
    <mergeCell ref="B45:H45"/>
    <mergeCell ref="B46:H46"/>
    <mergeCell ref="B32:C32"/>
    <mergeCell ref="B41:H41"/>
    <mergeCell ref="D23:E23"/>
    <mergeCell ref="D20:E20"/>
    <mergeCell ref="D10:E10"/>
    <mergeCell ref="D18:E18"/>
    <mergeCell ref="A68:A69"/>
    <mergeCell ref="B68:H68"/>
    <mergeCell ref="B69:H69"/>
    <mergeCell ref="A45:A46"/>
    <mergeCell ref="A65:E66"/>
    <mergeCell ref="B55:E55"/>
    <mergeCell ref="A54:B54"/>
    <mergeCell ref="C36:E36"/>
    <mergeCell ref="B50:G50"/>
    <mergeCell ref="A2:H2"/>
    <mergeCell ref="A3:H3"/>
    <mergeCell ref="A6:B6"/>
    <mergeCell ref="D9:E9"/>
    <mergeCell ref="A7:A9"/>
    <mergeCell ref="B7:C7"/>
    <mergeCell ref="B8:C8"/>
    <mergeCell ref="D8:E8"/>
    <mergeCell ref="B14:C14"/>
    <mergeCell ref="B24:C24"/>
    <mergeCell ref="B19:C19"/>
    <mergeCell ref="B23:C23"/>
    <mergeCell ref="D27:E27"/>
    <mergeCell ref="D28:E28"/>
    <mergeCell ref="D25:E25"/>
    <mergeCell ref="D26:E26"/>
    <mergeCell ref="B22:C22"/>
    <mergeCell ref="D22:E22"/>
    <mergeCell ref="D24:E24"/>
  </mergeCells>
  <dataValidations count="11">
    <dataValidation errorStyle="warning" type="decimal" operator="lessThanOrEqual" allowBlank="1" showErrorMessage="1" error="The number you entered is greater than the total number of districts in the country." sqref="H50:H51">
      <formula1>Q_0080</formula1>
    </dataValidation>
    <dataValidation errorStyle="warning" type="decimal" operator="equal" allowBlank="1" showInputMessage="1" showErrorMessage="1" error="The number is not equal to Live Births reported in 4010." sqref="F11:F12 F31 F33">
      <formula1>Q_4010_B</formula1>
    </dataValidation>
    <dataValidation errorStyle="warning" type="decimal" operator="equal" allowBlank="1" showErrorMessage="1" error="Number is not equal to Surviving Infants reported in 4030." sqref="F28:F29 F14:F19">
      <formula1>Q_4030_B</formula1>
    </dataValidation>
    <dataValidation errorStyle="information" type="list" allowBlank="1" showInputMessage="1" showErrorMessage="1" error="La valeur entrée n'est pas valide" sqref="E13:E14 E17:E20 E22:E25 D17:D25 D10:D14 E10:E11 D28:D29 E28">
      <formula1>DDL_target_group</formula1>
    </dataValidation>
    <dataValidation errorStyle="information" type="list" allowBlank="1" showInputMessage="1" showErrorMessage="1" error="La valeur entrée n'est pas valide" sqref="D30:E30">
      <formula1>DDL_target_group_vitA</formula1>
    </dataValidation>
    <dataValidation type="list" allowBlank="1" showInputMessage="1" showErrorMessage="1" error="La valeur entrée n'est pas valide" sqref="D32">
      <formula1>DDL_target_TT</formula1>
    </dataValidation>
    <dataValidation type="decimal" operator="greaterThanOrEqual" allowBlank="1" showInputMessage="1" showErrorMessage="1" sqref="G20:H24">
      <formula1>0</formula1>
    </dataValidation>
    <dataValidation type="whole" operator="greaterThanOrEqual" allowBlank="1" showInputMessage="1" showErrorMessage="1" sqref="F20:F24">
      <formula1>0</formula1>
    </dataValidation>
    <dataValidation type="list" allowBlank="1" showInputMessage="1" showErrorMessage="1" sqref="D16:E16">
      <formula1>DDL_target_group</formula1>
    </dataValidation>
    <dataValidation errorStyle="warning" type="custom" allowBlank="1" showErrorMessage="1" error="Number wrong." sqref="F25:F27">
      <formula1>AND((Q_4080_A=D10),(F25=Q_4010_B))</formula1>
    </dataValidation>
    <dataValidation type="list" allowBlank="1" showInputMessage="1" showErrorMessage="1" sqref="G35">
      <formula1>DDL_Yes_no</formula1>
    </dataValidation>
  </dataValidations>
  <hyperlinks>
    <hyperlink ref="H72" location="page4b" display="page4b"/>
  </hyperlinks>
  <printOptions/>
  <pageMargins left="0.984251968503937" right="0.15748031496062992" top="0.7874015748031497" bottom="0.984251968503937" header="0" footer="0.5118110236220472"/>
  <pageSetup fitToHeight="0" fitToWidth="1" horizontalDpi="600" verticalDpi="600" orientation="portrait" scale="72" r:id="rId1"/>
  <headerFooter alignWithMargins="0">
    <oddFooter>&amp;L&amp;"Verdana,Regular"&amp;8OMS/UNICEF JRF données pour 2016
&amp;F&amp;R&amp;"Verdana,Regular"&amp;8Section &amp;A, pg. &amp;P</oddFooter>
  </headerFooter>
  <rowBreaks count="1" manualBreakCount="1">
    <brk id="3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F30"/>
  <sheetViews>
    <sheetView showGridLines="0" showRowColHeaders="0" workbookViewId="0" topLeftCell="A1">
      <selection activeCell="E19" sqref="E19"/>
    </sheetView>
  </sheetViews>
  <sheetFormatPr defaultColWidth="9.140625" defaultRowHeight="12.75"/>
  <cols>
    <col min="1" max="1" width="6.7109375" style="12" customWidth="1"/>
    <col min="2" max="2" width="17.8515625" style="2" customWidth="1"/>
    <col min="3" max="6" width="14.140625" style="2" customWidth="1"/>
    <col min="9" max="16384" width="9.140625" style="2" customWidth="1"/>
  </cols>
  <sheetData>
    <row r="2" spans="1:6" ht="15" customHeight="1">
      <c r="A2" s="720" t="s">
        <v>499</v>
      </c>
      <c r="B2" s="720"/>
      <c r="C2" s="720"/>
      <c r="D2" s="720"/>
      <c r="E2" s="720"/>
      <c r="F2" s="720"/>
    </row>
    <row r="3" spans="1:6" ht="22.5" customHeight="1">
      <c r="A3" s="721" t="s">
        <v>521</v>
      </c>
      <c r="B3" s="721"/>
      <c r="C3" s="721"/>
      <c r="D3" s="721"/>
      <c r="E3" s="721"/>
      <c r="F3" s="721"/>
    </row>
    <row r="4" spans="1:5" ht="12.75" customHeight="1">
      <c r="A4" s="153"/>
      <c r="B4" s="153"/>
      <c r="C4" s="57"/>
      <c r="D4" s="57"/>
      <c r="E4" s="57"/>
    </row>
    <row r="5" spans="1:5" ht="21" customHeight="1">
      <c r="A5" s="154" t="s">
        <v>1023</v>
      </c>
      <c r="B5" s="153"/>
      <c r="C5" s="57"/>
      <c r="D5" s="57"/>
      <c r="E5" s="57"/>
    </row>
    <row r="6" spans="1:5" ht="12" customHeight="1" thickBot="1">
      <c r="A6" s="153"/>
      <c r="B6" s="57"/>
      <c r="C6" s="57"/>
      <c r="D6" s="57"/>
      <c r="E6" s="57"/>
    </row>
    <row r="7" spans="1:6" ht="37.5" customHeight="1">
      <c r="A7" s="198">
        <v>4420</v>
      </c>
      <c r="B7" s="771" t="s">
        <v>105</v>
      </c>
      <c r="C7" s="772"/>
      <c r="D7" s="772"/>
      <c r="E7" s="256" t="str">
        <f>HYPERLINK(CONCATENATE(Filename,"Ins4420"),"(instructions)")</f>
        <v>(instructions)</v>
      </c>
      <c r="F7" s="303" t="s">
        <v>512</v>
      </c>
    </row>
    <row r="8" spans="1:6" ht="24" customHeight="1">
      <c r="A8" s="18">
        <v>4430</v>
      </c>
      <c r="B8" s="769" t="s">
        <v>103</v>
      </c>
      <c r="C8" s="770"/>
      <c r="D8" s="775"/>
      <c r="E8" s="776"/>
      <c r="F8" s="777"/>
    </row>
    <row r="9" spans="1:6" ht="24" customHeight="1">
      <c r="A9" s="18">
        <v>4440</v>
      </c>
      <c r="B9" s="769" t="s">
        <v>104</v>
      </c>
      <c r="C9" s="770"/>
      <c r="D9" s="775"/>
      <c r="E9" s="776"/>
      <c r="F9" s="777"/>
    </row>
    <row r="11" ht="21" customHeight="1">
      <c r="A11" s="132" t="s">
        <v>1025</v>
      </c>
    </row>
    <row r="12" spans="1:6" ht="47.25" customHeight="1">
      <c r="A12" s="18">
        <v>4400</v>
      </c>
      <c r="B12" s="769" t="s">
        <v>522</v>
      </c>
      <c r="C12" s="770"/>
      <c r="D12" s="155" t="s">
        <v>512</v>
      </c>
      <c r="E12" s="516"/>
      <c r="F12" s="774"/>
    </row>
    <row r="13" spans="1:6" ht="57" customHeight="1" thickBot="1">
      <c r="A13" s="19">
        <v>4410</v>
      </c>
      <c r="B13" s="745" t="s">
        <v>719</v>
      </c>
      <c r="C13" s="747"/>
      <c r="D13" s="778"/>
      <c r="E13" s="779"/>
      <c r="F13" s="780"/>
    </row>
    <row r="15" spans="1:6" ht="19.5">
      <c r="A15" s="721" t="s">
        <v>1562</v>
      </c>
      <c r="B15" s="721"/>
      <c r="C15" s="721"/>
      <c r="D15" s="721"/>
      <c r="E15" s="721"/>
      <c r="F15" s="721"/>
    </row>
    <row r="16" spans="1:5" ht="12.75">
      <c r="A16" s="153"/>
      <c r="B16" s="153"/>
      <c r="C16" s="57"/>
      <c r="D16" s="57"/>
      <c r="E16" s="57"/>
    </row>
    <row r="17" spans="1:5" ht="15">
      <c r="A17" s="154" t="s">
        <v>1023</v>
      </c>
      <c r="B17" s="153"/>
      <c r="C17" s="57"/>
      <c r="D17" s="57"/>
      <c r="E17" s="57"/>
    </row>
    <row r="18" spans="1:5" ht="13.5" thickBot="1">
      <c r="A18" s="153"/>
      <c r="B18" s="57"/>
      <c r="C18" s="57"/>
      <c r="D18" s="57"/>
      <c r="E18" s="57"/>
    </row>
    <row r="19" spans="1:6" ht="30" customHeight="1">
      <c r="A19" s="198">
        <v>4410</v>
      </c>
      <c r="B19" s="771" t="s">
        <v>105</v>
      </c>
      <c r="C19" s="772"/>
      <c r="D19" s="772"/>
      <c r="E19" s="256" t="str">
        <f>HYPERLINK(CONCATENATE(Filename,"Ins4530"),"(instructions)")</f>
        <v>(instructions)</v>
      </c>
      <c r="F19" s="303" t="s">
        <v>512</v>
      </c>
    </row>
    <row r="20" spans="1:6" ht="28.5" customHeight="1">
      <c r="A20" s="18">
        <v>4420</v>
      </c>
      <c r="B20" s="769" t="s">
        <v>103</v>
      </c>
      <c r="C20" s="770"/>
      <c r="D20" s="775"/>
      <c r="E20" s="776"/>
      <c r="F20" s="777"/>
    </row>
    <row r="21" spans="1:6" ht="24" customHeight="1">
      <c r="A21" s="18">
        <v>4430</v>
      </c>
      <c r="B21" s="769" t="s">
        <v>104</v>
      </c>
      <c r="C21" s="770"/>
      <c r="D21" s="775"/>
      <c r="E21" s="776"/>
      <c r="F21" s="777"/>
    </row>
    <row r="23" ht="15">
      <c r="A23" s="132" t="s">
        <v>1025</v>
      </c>
    </row>
    <row r="24" spans="1:6" ht="36" customHeight="1">
      <c r="A24" s="18">
        <v>4440</v>
      </c>
      <c r="B24" s="769" t="s">
        <v>522</v>
      </c>
      <c r="C24" s="770"/>
      <c r="D24" s="155" t="s">
        <v>512</v>
      </c>
      <c r="E24" s="516"/>
      <c r="F24" s="774"/>
    </row>
    <row r="25" spans="1:6" ht="36.75" customHeight="1" thickBot="1">
      <c r="A25" s="19">
        <v>4450</v>
      </c>
      <c r="B25" s="745" t="s">
        <v>1563</v>
      </c>
      <c r="C25" s="747"/>
      <c r="D25" s="778"/>
      <c r="E25" s="779"/>
      <c r="F25" s="780"/>
    </row>
    <row r="27" spans="1:6" ht="49.5" customHeight="1">
      <c r="A27" s="773" t="s">
        <v>1026</v>
      </c>
      <c r="B27" s="773"/>
      <c r="C27" s="773"/>
      <c r="D27" s="773"/>
      <c r="E27" s="773"/>
      <c r="F27" s="773"/>
    </row>
    <row r="30" ht="12.75">
      <c r="F30" s="150" t="str">
        <f>HYPERLINK(Filename&amp;"page5","Page suivante")</f>
        <v>Page suivante</v>
      </c>
    </row>
  </sheetData>
  <sheetProtection password="F319" sheet="1" selectLockedCells="1"/>
  <mergeCells count="22">
    <mergeCell ref="B21:C21"/>
    <mergeCell ref="D21:F21"/>
    <mergeCell ref="B24:C24"/>
    <mergeCell ref="E24:F24"/>
    <mergeCell ref="B25:C25"/>
    <mergeCell ref="D25:F25"/>
    <mergeCell ref="D9:F9"/>
    <mergeCell ref="D13:F13"/>
    <mergeCell ref="A15:F15"/>
    <mergeCell ref="B19:D19"/>
    <mergeCell ref="B20:C20"/>
    <mergeCell ref="D20:F20"/>
    <mergeCell ref="A2:F2"/>
    <mergeCell ref="A3:F3"/>
    <mergeCell ref="B8:C8"/>
    <mergeCell ref="B7:D7"/>
    <mergeCell ref="B9:C9"/>
    <mergeCell ref="A27:F27"/>
    <mergeCell ref="B12:C12"/>
    <mergeCell ref="E12:F12"/>
    <mergeCell ref="B13:C13"/>
    <mergeCell ref="D8:F8"/>
  </mergeCells>
  <dataValidations count="3">
    <dataValidation errorStyle="warning" type="list" showErrorMessage="1" error="Vous avez saisi une réponse erronée." sqref="F7 F19">
      <formula1>DDL_syear</formula1>
    </dataValidation>
    <dataValidation type="list" allowBlank="1" showInputMessage="1" showErrorMessage="1" error="Merci de choisir une donnée dans la liste." sqref="D12 D24">
      <formula1>DDL_Yes_no</formula1>
    </dataValidation>
    <dataValidation allowBlank="1" showInputMessage="1" showErrorMessage="1" prompt="Commentaires" sqref="E12:F12 E24:F24"/>
  </dataValidations>
  <hyperlinks>
    <hyperlink ref="F30" location="page5" display="page5"/>
  </hyperlinks>
  <printOptions/>
  <pageMargins left="0.2755905511811024" right="0.15748031496062992" top="0.984251968503937" bottom="0.984251968503937" header="0.5118110236220472" footer="0.5118110236220472"/>
  <pageSetup fitToHeight="1" fitToWidth="1" horizontalDpi="600" verticalDpi="600" orientation="landscape" r:id="rId1"/>
  <headerFooter alignWithMargins="0">
    <oddFooter>&amp;L&amp;"Verdana,Regular"&amp;8OMS/UNICEF JRF données pour 2016
&amp;F&amp;R&amp;"Verdana,Regular"&amp;8Section &amp;A, pg.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G41"/>
  <sheetViews>
    <sheetView showGridLines="0" workbookViewId="0" topLeftCell="A8">
      <selection activeCell="C35" sqref="C35"/>
    </sheetView>
  </sheetViews>
  <sheetFormatPr defaultColWidth="9.140625" defaultRowHeight="12.75"/>
  <cols>
    <col min="1" max="1" width="6.7109375" style="12" customWidth="1"/>
    <col min="2" max="2" width="61.7109375" style="2" customWidth="1"/>
    <col min="3" max="3" width="15.00390625" style="2" customWidth="1"/>
    <col min="4" max="4" width="24.7109375" style="2" customWidth="1"/>
    <col min="5" max="16384" width="9.140625" style="2" customWidth="1"/>
  </cols>
  <sheetData>
    <row r="1" ht="15" customHeight="1"/>
    <row r="2" spans="1:4" ht="41.25" customHeight="1">
      <c r="A2" s="789" t="s">
        <v>1028</v>
      </c>
      <c r="B2" s="789"/>
      <c r="C2" s="789"/>
      <c r="D2" s="789"/>
    </row>
    <row r="3" spans="1:4" ht="21" customHeight="1" thickBot="1">
      <c r="A3" s="436"/>
      <c r="B3" s="436"/>
      <c r="C3" s="436"/>
      <c r="D3" s="436"/>
    </row>
    <row r="4" spans="1:4" ht="20.25" customHeight="1">
      <c r="A4" s="626">
        <v>5000</v>
      </c>
      <c r="B4" s="98" t="s">
        <v>6</v>
      </c>
      <c r="C4" s="98"/>
      <c r="D4" s="97"/>
    </row>
    <row r="5" spans="1:4" ht="117.75" customHeight="1" thickBot="1">
      <c r="A5" s="560"/>
      <c r="B5" s="733"/>
      <c r="C5" s="734"/>
      <c r="D5" s="735"/>
    </row>
    <row r="6" ht="10.5">
      <c r="A6" s="2"/>
    </row>
    <row r="7" spans="1:3" ht="10.5">
      <c r="A7" s="792" t="str">
        <f>HYPERLINK(CONCATENATE(Filename,"Ins5010_5230"),"(Section instructions)")</f>
        <v>(Section instructions)</v>
      </c>
      <c r="B7" s="792"/>
      <c r="C7" s="150"/>
    </row>
    <row r="9" spans="1:4" ht="34.5" customHeight="1" thickBot="1">
      <c r="A9" s="790" t="s">
        <v>751</v>
      </c>
      <c r="B9" s="791"/>
      <c r="C9" s="791"/>
      <c r="D9" s="791"/>
    </row>
    <row r="10" spans="1:4" ht="21">
      <c r="A10" s="27"/>
      <c r="B10" s="793" t="s">
        <v>500</v>
      </c>
      <c r="C10" s="794"/>
      <c r="D10" s="25" t="s">
        <v>720</v>
      </c>
    </row>
    <row r="11" spans="1:7" ht="21" customHeight="1">
      <c r="A11" s="18">
        <v>5010</v>
      </c>
      <c r="B11" s="591" t="s">
        <v>52</v>
      </c>
      <c r="C11" s="592"/>
      <c r="D11" s="119"/>
      <c r="G11" s="43"/>
    </row>
    <row r="12" spans="1:4" ht="21" customHeight="1">
      <c r="A12" s="18">
        <v>5020</v>
      </c>
      <c r="B12" s="65" t="s">
        <v>1029</v>
      </c>
      <c r="C12" s="76"/>
      <c r="D12" s="119"/>
    </row>
    <row r="13" spans="1:4" ht="26.25" customHeight="1">
      <c r="A13" s="18">
        <v>5030</v>
      </c>
      <c r="B13" s="591" t="s">
        <v>1407</v>
      </c>
      <c r="C13" s="795"/>
      <c r="D13" s="119"/>
    </row>
    <row r="14" spans="1:4" ht="21" customHeight="1">
      <c r="A14" s="18">
        <v>5040</v>
      </c>
      <c r="B14" s="787" t="s">
        <v>506</v>
      </c>
      <c r="C14" s="788"/>
      <c r="D14" s="119"/>
    </row>
    <row r="15" spans="1:4" ht="21" customHeight="1">
      <c r="A15" s="18">
        <v>5050</v>
      </c>
      <c r="B15" s="787" t="s">
        <v>507</v>
      </c>
      <c r="C15" s="788"/>
      <c r="D15" s="119"/>
    </row>
    <row r="16" spans="1:4" ht="21" customHeight="1">
      <c r="A16" s="18">
        <v>5060</v>
      </c>
      <c r="B16" s="787" t="s">
        <v>812</v>
      </c>
      <c r="C16" s="788"/>
      <c r="D16" s="119"/>
    </row>
    <row r="17" spans="1:4" ht="21" customHeight="1">
      <c r="A17" s="18">
        <v>5070</v>
      </c>
      <c r="B17" s="787" t="s">
        <v>814</v>
      </c>
      <c r="C17" s="788"/>
      <c r="D17" s="119"/>
    </row>
    <row r="18" spans="1:4" ht="21" customHeight="1">
      <c r="A18" s="18">
        <v>5080</v>
      </c>
      <c r="B18" s="787" t="s">
        <v>109</v>
      </c>
      <c r="C18" s="788"/>
      <c r="D18" s="119"/>
    </row>
    <row r="19" spans="1:4" ht="21" customHeight="1">
      <c r="A19" s="18">
        <v>5090</v>
      </c>
      <c r="B19" s="787" t="s">
        <v>64</v>
      </c>
      <c r="C19" s="788"/>
      <c r="D19" s="119"/>
    </row>
    <row r="20" spans="1:4" ht="21" customHeight="1">
      <c r="A20" s="18">
        <v>5100</v>
      </c>
      <c r="B20" s="787" t="s">
        <v>65</v>
      </c>
      <c r="C20" s="788"/>
      <c r="D20" s="119"/>
    </row>
    <row r="21" spans="1:4" s="57" customFormat="1" ht="21" customHeight="1">
      <c r="A21" s="179">
        <v>5110</v>
      </c>
      <c r="B21" s="787" t="s">
        <v>415</v>
      </c>
      <c r="C21" s="788"/>
      <c r="D21" s="119"/>
    </row>
    <row r="22" spans="1:4" s="57" customFormat="1" ht="21" customHeight="1">
      <c r="A22" s="179">
        <v>5120</v>
      </c>
      <c r="B22" s="787" t="s">
        <v>776</v>
      </c>
      <c r="C22" s="788"/>
      <c r="D22" s="119"/>
    </row>
    <row r="23" spans="1:4" s="57" customFormat="1" ht="21" customHeight="1">
      <c r="A23" s="179">
        <v>5130</v>
      </c>
      <c r="B23" s="787" t="s">
        <v>838</v>
      </c>
      <c r="C23" s="788"/>
      <c r="D23" s="119"/>
    </row>
    <row r="24" spans="1:4" s="57" customFormat="1" ht="21" customHeight="1">
      <c r="A24" s="179">
        <v>5140</v>
      </c>
      <c r="B24" s="787" t="s">
        <v>417</v>
      </c>
      <c r="C24" s="788"/>
      <c r="D24" s="119"/>
    </row>
    <row r="25" spans="1:4" s="57" customFormat="1" ht="21" customHeight="1">
      <c r="A25" s="179">
        <v>5150</v>
      </c>
      <c r="B25" s="787" t="s">
        <v>418</v>
      </c>
      <c r="C25" s="788"/>
      <c r="D25" s="119"/>
    </row>
    <row r="26" spans="1:4" ht="28.5" customHeight="1">
      <c r="A26" s="18">
        <v>5160</v>
      </c>
      <c r="B26" s="591" t="s">
        <v>815</v>
      </c>
      <c r="C26" s="592"/>
      <c r="D26" s="119"/>
    </row>
    <row r="27" spans="1:4" ht="21" customHeight="1">
      <c r="A27" s="18">
        <v>5170</v>
      </c>
      <c r="B27" s="787" t="s">
        <v>1030</v>
      </c>
      <c r="C27" s="788"/>
      <c r="D27" s="119"/>
    </row>
    <row r="28" spans="1:4" ht="23.25" customHeight="1">
      <c r="A28" s="18">
        <v>5180</v>
      </c>
      <c r="B28" s="591" t="s">
        <v>816</v>
      </c>
      <c r="C28" s="592"/>
      <c r="D28" s="119"/>
    </row>
    <row r="29" spans="1:4" ht="21" customHeight="1">
      <c r="A29" s="18">
        <v>5190</v>
      </c>
      <c r="B29" s="787" t="s">
        <v>515</v>
      </c>
      <c r="C29" s="788"/>
      <c r="D29" s="119"/>
    </row>
    <row r="30" spans="1:4" ht="21" customHeight="1">
      <c r="A30" s="18">
        <v>5200</v>
      </c>
      <c r="B30" s="787" t="s">
        <v>1403</v>
      </c>
      <c r="C30" s="788"/>
      <c r="D30" s="119"/>
    </row>
    <row r="31" spans="1:4" ht="21" customHeight="1">
      <c r="A31" s="18">
        <v>5210</v>
      </c>
      <c r="B31" s="787" t="s">
        <v>523</v>
      </c>
      <c r="C31" s="788"/>
      <c r="D31" s="120"/>
    </row>
    <row r="32" spans="1:4" ht="21" customHeight="1">
      <c r="A32" s="18">
        <v>5220</v>
      </c>
      <c r="B32" s="787" t="s">
        <v>518</v>
      </c>
      <c r="C32" s="788"/>
      <c r="D32" s="119"/>
    </row>
    <row r="33" spans="1:4" ht="21" customHeight="1" thickBot="1">
      <c r="A33" s="19">
        <v>5230</v>
      </c>
      <c r="B33" s="781" t="s">
        <v>821</v>
      </c>
      <c r="C33" s="782"/>
      <c r="D33" s="121"/>
    </row>
    <row r="34" ht="11.25" thickBot="1"/>
    <row r="35" spans="1:4" ht="42">
      <c r="A35" s="347">
        <v>5240</v>
      </c>
      <c r="B35" s="472" t="s">
        <v>1408</v>
      </c>
      <c r="C35" s="256" t="str">
        <f>HYPERLINK(CONCATENATE(Filename,"Ins5240"),"(instructions)")</f>
        <v>(instructions)</v>
      </c>
      <c r="D35" s="346" t="s">
        <v>512</v>
      </c>
    </row>
    <row r="36" spans="1:4" ht="21" customHeight="1">
      <c r="A36" s="435">
        <v>5250</v>
      </c>
      <c r="B36" s="783" t="s">
        <v>1410</v>
      </c>
      <c r="C36" s="784"/>
      <c r="D36" s="483"/>
    </row>
    <row r="37" spans="1:4" ht="53.25" customHeight="1">
      <c r="A37" s="435">
        <v>5260</v>
      </c>
      <c r="B37" s="783" t="s">
        <v>1411</v>
      </c>
      <c r="C37" s="784"/>
      <c r="D37" s="484" t="s">
        <v>512</v>
      </c>
    </row>
    <row r="38" spans="1:4" ht="29.25" customHeight="1" thickBot="1">
      <c r="A38" s="434">
        <v>5270</v>
      </c>
      <c r="B38" s="785" t="s">
        <v>1410</v>
      </c>
      <c r="C38" s="786"/>
      <c r="D38" s="442"/>
    </row>
    <row r="41" ht="10.5">
      <c r="D41" s="150" t="str">
        <f>HYPERLINK(Filename&amp;"page6a","Page suivante")</f>
        <v>Page suivante</v>
      </c>
    </row>
  </sheetData>
  <sheetProtection password="F319" sheet="1" selectLockedCells="1"/>
  <mergeCells count="31">
    <mergeCell ref="B20:C20"/>
    <mergeCell ref="B19:C19"/>
    <mergeCell ref="B13:C13"/>
    <mergeCell ref="B14:C14"/>
    <mergeCell ref="B15:C15"/>
    <mergeCell ref="B16:C16"/>
    <mergeCell ref="B17:C17"/>
    <mergeCell ref="B18:C18"/>
    <mergeCell ref="B5:D5"/>
    <mergeCell ref="A2:D2"/>
    <mergeCell ref="A9:D9"/>
    <mergeCell ref="A7:B7"/>
    <mergeCell ref="A4:A5"/>
    <mergeCell ref="B11:C11"/>
    <mergeCell ref="B10:C10"/>
    <mergeCell ref="B21:C21"/>
    <mergeCell ref="B22:C22"/>
    <mergeCell ref="B23:C23"/>
    <mergeCell ref="B24:C24"/>
    <mergeCell ref="B25:C25"/>
    <mergeCell ref="B32:C32"/>
    <mergeCell ref="B31:C31"/>
    <mergeCell ref="B33:C33"/>
    <mergeCell ref="B37:C37"/>
    <mergeCell ref="B36:C36"/>
    <mergeCell ref="B38:C38"/>
    <mergeCell ref="B26:C26"/>
    <mergeCell ref="B27:C27"/>
    <mergeCell ref="B28:C28"/>
    <mergeCell ref="B29:C29"/>
    <mergeCell ref="B30:C30"/>
  </mergeCells>
  <dataValidations count="4">
    <dataValidation errorStyle="warning" operator="lessThanOrEqual" allowBlank="1" error="You have entered more than 100%&#10;&#10;OR&#10;&#10;Your entry is not a number." sqref="D12:D20 D26:D30 D33"/>
    <dataValidation allowBlank="1" showInputMessage="1" sqref="D11"/>
    <dataValidation errorStyle="warning" operator="lessThanOrEqual" allowBlank="1" showErrorMessage="1" error="You have entered more than 100%&#10;&#10;OR&#10;&#10;Your entry is not a number." sqref="D21:D24"/>
    <dataValidation type="list" allowBlank="1" showInputMessage="1" showErrorMessage="1" error="Merci de choisir une donnée dans la liste." sqref="D37 D35">
      <formula1>DDL_Private</formula1>
    </dataValidation>
  </dataValidations>
  <hyperlinks>
    <hyperlink ref="D41" location="page6a" display="page6a"/>
  </hyperlinks>
  <printOptions/>
  <pageMargins left="0.2755905511811024" right="0.15748031496062992" top="0.984251968503937" bottom="0.984251968503937" header="0.5118110236220472" footer="0.5118110236220472"/>
  <pageSetup fitToHeight="1" fitToWidth="1" horizontalDpi="600" verticalDpi="600" orientation="portrait" scale="70" r:id="rId1"/>
  <headerFooter alignWithMargins="0">
    <oddFooter>&amp;L&amp;"Verdana,Regular"&amp;8OMS/UNICEF JRF données pour 2016
&amp;F&amp;R&amp;"Verdana,Regular"&amp;8Section &amp;A, pg.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I135"/>
  <sheetViews>
    <sheetView showGridLines="0" showRowColHeaders="0" workbookViewId="0" topLeftCell="A1">
      <selection activeCell="D6" sqref="D6"/>
    </sheetView>
  </sheetViews>
  <sheetFormatPr defaultColWidth="9.140625" defaultRowHeight="12.75"/>
  <cols>
    <col min="1" max="1" width="9.140625" style="2" customWidth="1"/>
    <col min="2" max="2" width="48.140625" style="13" customWidth="1"/>
    <col min="3" max="4" width="16.140625" style="13" customWidth="1"/>
    <col min="5" max="8" width="16.140625" style="2" customWidth="1"/>
    <col min="9" max="16384" width="9.140625" style="2" customWidth="1"/>
  </cols>
  <sheetData>
    <row r="1" ht="15" customHeight="1"/>
    <row r="2" spans="1:9" ht="22.5" customHeight="1">
      <c r="A2" s="720" t="s">
        <v>167</v>
      </c>
      <c r="B2" s="720"/>
      <c r="C2" s="720"/>
      <c r="D2" s="720"/>
      <c r="E2" s="720"/>
      <c r="F2" s="720"/>
      <c r="G2"/>
      <c r="H2"/>
      <c r="I2"/>
    </row>
    <row r="3" s="26" customFormat="1" ht="10.5"/>
    <row r="4" ht="21" customHeight="1" thickBot="1">
      <c r="A4" s="131" t="s">
        <v>721</v>
      </c>
    </row>
    <row r="5" spans="1:6" s="28" customFormat="1" ht="33" customHeight="1">
      <c r="A5" s="68"/>
      <c r="B5" s="643" t="s">
        <v>21</v>
      </c>
      <c r="C5" s="644"/>
      <c r="D5" s="882"/>
      <c r="E5" s="24" t="s">
        <v>22</v>
      </c>
      <c r="F5" s="25" t="s">
        <v>16</v>
      </c>
    </row>
    <row r="6" spans="1:6" ht="34.5" customHeight="1">
      <c r="A6" s="18">
        <v>6010</v>
      </c>
      <c r="B6" s="112" t="s">
        <v>23</v>
      </c>
      <c r="C6" s="173"/>
      <c r="D6" s="75" t="str">
        <f>HYPERLINK(CONCATENATE(Filename,"Ins6010"),"(instructions)")</f>
        <v>(instructions)</v>
      </c>
      <c r="E6" s="146" t="s">
        <v>510</v>
      </c>
      <c r="F6" s="64"/>
    </row>
    <row r="7" spans="1:6" ht="21" customHeight="1">
      <c r="A7" s="18">
        <v>6020</v>
      </c>
      <c r="B7" s="886" t="s">
        <v>24</v>
      </c>
      <c r="C7" s="887"/>
      <c r="D7" s="888"/>
      <c r="E7" s="111"/>
      <c r="F7" s="114"/>
    </row>
    <row r="8" spans="1:6" ht="25.5" customHeight="1">
      <c r="A8" s="18">
        <v>6030</v>
      </c>
      <c r="B8" s="769" t="s">
        <v>1033</v>
      </c>
      <c r="C8" s="881"/>
      <c r="D8" s="770"/>
      <c r="E8" s="146" t="s">
        <v>510</v>
      </c>
      <c r="F8" s="64"/>
    </row>
    <row r="9" spans="1:6" ht="34.5" customHeight="1">
      <c r="A9" s="243">
        <v>6040</v>
      </c>
      <c r="B9" s="883" t="s">
        <v>17</v>
      </c>
      <c r="C9" s="884"/>
      <c r="D9" s="885"/>
      <c r="E9" s="244"/>
      <c r="F9" s="348"/>
    </row>
    <row r="10" spans="1:6" ht="34.5" customHeight="1" thickBot="1">
      <c r="A10" s="349">
        <v>6050</v>
      </c>
      <c r="B10" s="810" t="s">
        <v>822</v>
      </c>
      <c r="C10" s="903"/>
      <c r="D10" s="302" t="str">
        <f>HYPERLINK(CONCATENATE(Filename,"Ins6050"),"(instructions)")</f>
        <v>(instructions)</v>
      </c>
      <c r="E10" s="147" t="s">
        <v>510</v>
      </c>
      <c r="F10" s="280"/>
    </row>
    <row r="11" spans="1:7" ht="29.25" customHeight="1">
      <c r="A11" s="905" t="s">
        <v>1533</v>
      </c>
      <c r="B11" s="905"/>
      <c r="C11" s="905"/>
      <c r="D11" s="905"/>
      <c r="E11" s="905"/>
      <c r="F11" s="905"/>
      <c r="G11" s="203"/>
    </row>
    <row r="12" spans="1:7" ht="29.25" customHeight="1" thickBot="1">
      <c r="A12" s="906"/>
      <c r="B12" s="906"/>
      <c r="C12" s="906"/>
      <c r="D12" s="906"/>
      <c r="E12" s="906"/>
      <c r="F12" s="906"/>
      <c r="G12" s="203"/>
    </row>
    <row r="13" spans="1:7" ht="29.25" customHeight="1">
      <c r="A13" s="281"/>
      <c r="B13" s="889" t="s">
        <v>524</v>
      </c>
      <c r="C13" s="889"/>
      <c r="D13" s="889"/>
      <c r="E13" s="24" t="s">
        <v>22</v>
      </c>
      <c r="F13" s="25" t="s">
        <v>16</v>
      </c>
      <c r="G13" s="203"/>
    </row>
    <row r="14" spans="1:7" ht="66" customHeight="1">
      <c r="A14" s="18">
        <v>6060</v>
      </c>
      <c r="B14" s="857" t="s">
        <v>1534</v>
      </c>
      <c r="C14" s="904"/>
      <c r="D14" s="75" t="str">
        <f>HYPERLINK(CONCATENATE(Filename,"Ins_NITAG1"),"(instructions)")</f>
        <v>(instructions)</v>
      </c>
      <c r="E14" s="146" t="s">
        <v>510</v>
      </c>
      <c r="F14" s="64"/>
      <c r="G14" s="203"/>
    </row>
    <row r="15" spans="1:7" ht="26.25" customHeight="1">
      <c r="A15" s="18">
        <v>6070</v>
      </c>
      <c r="B15" s="814" t="s">
        <v>525</v>
      </c>
      <c r="C15" s="769"/>
      <c r="D15" s="75" t="str">
        <f>HYPERLINK(CONCATENATE(Filename,"Ins_NITAG2"),"(instructions)")</f>
        <v>(instructions)</v>
      </c>
      <c r="E15" s="146" t="s">
        <v>510</v>
      </c>
      <c r="F15" s="64"/>
      <c r="G15" s="203"/>
    </row>
    <row r="16" spans="1:7" ht="24" customHeight="1">
      <c r="A16" s="18">
        <v>6080</v>
      </c>
      <c r="B16" s="814" t="s">
        <v>526</v>
      </c>
      <c r="C16" s="769"/>
      <c r="D16" s="75" t="str">
        <f>HYPERLINK(CONCATENATE(Filename,"Ins_NITAG3"),"(instructions)")</f>
        <v>(instructions)</v>
      </c>
      <c r="E16" s="146" t="s">
        <v>510</v>
      </c>
      <c r="F16" s="64"/>
      <c r="G16" s="203"/>
    </row>
    <row r="17" spans="1:7" ht="18" customHeight="1">
      <c r="A17" s="18">
        <v>6090</v>
      </c>
      <c r="B17" s="857" t="s">
        <v>527</v>
      </c>
      <c r="C17" s="857" t="s">
        <v>528</v>
      </c>
      <c r="D17" s="857"/>
      <c r="E17" s="146" t="s">
        <v>510</v>
      </c>
      <c r="F17" s="64"/>
      <c r="G17" s="203"/>
    </row>
    <row r="18" spans="1:7" ht="18" customHeight="1">
      <c r="A18" s="18">
        <v>6100</v>
      </c>
      <c r="B18" s="857"/>
      <c r="C18" s="857" t="s">
        <v>529</v>
      </c>
      <c r="D18" s="857"/>
      <c r="E18" s="146" t="s">
        <v>510</v>
      </c>
      <c r="F18" s="64"/>
      <c r="G18" s="203"/>
    </row>
    <row r="19" spans="1:7" ht="20.25" customHeight="1">
      <c r="A19" s="18">
        <v>6110</v>
      </c>
      <c r="B19" s="907"/>
      <c r="C19" s="857" t="s">
        <v>530</v>
      </c>
      <c r="D19" s="857"/>
      <c r="E19" s="146" t="s">
        <v>510</v>
      </c>
      <c r="F19" s="64"/>
      <c r="G19" s="203"/>
    </row>
    <row r="20" spans="1:7" ht="20.25" customHeight="1">
      <c r="A20" s="18">
        <v>6120</v>
      </c>
      <c r="B20" s="866" t="str">
        <f>HYPERLINK(CONCATENATE(Filename,"Ins_NITAG4"),"(instructions)")</f>
        <v>(instructions)</v>
      </c>
      <c r="C20" s="857" t="s">
        <v>531</v>
      </c>
      <c r="D20" s="857"/>
      <c r="E20" s="146" t="s">
        <v>510</v>
      </c>
      <c r="F20" s="64"/>
      <c r="G20" s="203"/>
    </row>
    <row r="21" spans="1:7" ht="23.25" customHeight="1">
      <c r="A21" s="18">
        <v>6130</v>
      </c>
      <c r="B21" s="867"/>
      <c r="C21" s="857" t="s">
        <v>532</v>
      </c>
      <c r="D21" s="857"/>
      <c r="E21" s="146" t="s">
        <v>510</v>
      </c>
      <c r="F21" s="64"/>
      <c r="G21" s="203"/>
    </row>
    <row r="22" spans="1:7" ht="23.25" customHeight="1">
      <c r="A22" s="18">
        <v>6140</v>
      </c>
      <c r="B22" s="868"/>
      <c r="C22" s="857" t="s">
        <v>533</v>
      </c>
      <c r="D22" s="857"/>
      <c r="E22" s="146" t="s">
        <v>510</v>
      </c>
      <c r="F22" s="64"/>
      <c r="G22" s="203"/>
    </row>
    <row r="23" spans="1:7" ht="29.25" customHeight="1">
      <c r="A23" s="18">
        <v>6150</v>
      </c>
      <c r="B23" s="814" t="s">
        <v>1074</v>
      </c>
      <c r="C23" s="769"/>
      <c r="D23" s="75" t="str">
        <f>HYPERLINK(CONCATENATE(Filename,"Ins_NITAG5"),"(instructions)")</f>
        <v>(instructions)</v>
      </c>
      <c r="E23" s="331"/>
      <c r="F23" s="64"/>
      <c r="G23" s="203"/>
    </row>
    <row r="24" spans="1:7" ht="31.5" customHeight="1">
      <c r="A24" s="18">
        <v>6160</v>
      </c>
      <c r="B24" s="814" t="s">
        <v>1075</v>
      </c>
      <c r="C24" s="769"/>
      <c r="D24" s="75" t="str">
        <f>HYPERLINK(CONCATENATE(Filename,"Ins_NITAG6"),"(instructions)")</f>
        <v>(instructions)</v>
      </c>
      <c r="E24" s="489" t="s">
        <v>510</v>
      </c>
      <c r="F24" s="64"/>
      <c r="G24" s="203"/>
    </row>
    <row r="25" spans="1:7" ht="29.25" customHeight="1">
      <c r="A25" s="18">
        <v>6170</v>
      </c>
      <c r="B25" s="814" t="s">
        <v>534</v>
      </c>
      <c r="C25" s="769"/>
      <c r="D25" s="75" t="str">
        <f>HYPERLINK(CONCATENATE(Filename,"Ins_NITAG7"),"(instructions)")</f>
        <v>(instructions)</v>
      </c>
      <c r="E25" s="489" t="s">
        <v>510</v>
      </c>
      <c r="F25" s="64"/>
      <c r="G25" s="203"/>
    </row>
    <row r="26" spans="1:7" ht="33.75" customHeight="1">
      <c r="A26" s="18">
        <v>6180</v>
      </c>
      <c r="B26" s="814" t="s">
        <v>535</v>
      </c>
      <c r="C26" s="769"/>
      <c r="D26" s="75" t="str">
        <f>HYPERLINK(CONCATENATE(Filename,"Ins_NITAG8"),"(instructions)")</f>
        <v>(instructions)</v>
      </c>
      <c r="E26" s="489" t="s">
        <v>510</v>
      </c>
      <c r="F26" s="64"/>
      <c r="G26" s="203"/>
    </row>
    <row r="27" spans="1:7" ht="29.25" customHeight="1">
      <c r="A27" s="433">
        <v>6190</v>
      </c>
      <c r="B27" s="798" t="s">
        <v>1535</v>
      </c>
      <c r="C27" s="799"/>
      <c r="D27" s="800"/>
      <c r="E27" s="490" t="s">
        <v>510</v>
      </c>
      <c r="F27" s="443"/>
      <c r="G27" s="203"/>
    </row>
    <row r="28" spans="1:7" ht="91.5" customHeight="1">
      <c r="A28" s="243">
        <v>6200</v>
      </c>
      <c r="B28" s="456" t="s">
        <v>1412</v>
      </c>
      <c r="C28" s="828" t="s">
        <v>1413</v>
      </c>
      <c r="D28" s="829"/>
      <c r="E28" s="491" t="s">
        <v>510</v>
      </c>
      <c r="F28" s="445"/>
      <c r="G28" s="203"/>
    </row>
    <row r="29" spans="1:7" ht="31.5" customHeight="1" thickBot="1">
      <c r="A29" s="19">
        <v>6210</v>
      </c>
      <c r="B29" s="444" t="str">
        <f>HYPERLINK(CONCATENATE(Filename,"Ins_NITAG9"),"(instructions)")</f>
        <v>(instructions)</v>
      </c>
      <c r="C29" s="858" t="s">
        <v>1414</v>
      </c>
      <c r="D29" s="859"/>
      <c r="E29" s="492" t="s">
        <v>510</v>
      </c>
      <c r="F29" s="446"/>
      <c r="G29" s="203"/>
    </row>
    <row r="30" spans="1:7" ht="10.5">
      <c r="A30" s="258"/>
      <c r="B30" s="258"/>
      <c r="C30" s="258"/>
      <c r="D30" s="258"/>
      <c r="E30" s="258"/>
      <c r="F30" s="258"/>
      <c r="G30" s="4"/>
    </row>
    <row r="31" spans="1:8" ht="15">
      <c r="A31" s="131" t="s">
        <v>1313</v>
      </c>
      <c r="C31" s="2"/>
      <c r="D31" s="2"/>
      <c r="H31" s="12"/>
    </row>
    <row r="32" spans="1:8" ht="11.25" thickBot="1">
      <c r="A32" s="358" t="str">
        <f>HYPERLINK(CONCATENATE(Filename,"Ins6220_6300"),"(instructions)")</f>
        <v>(instructions)</v>
      </c>
      <c r="C32" s="2"/>
      <c r="D32" s="2"/>
      <c r="H32" s="12"/>
    </row>
    <row r="33" spans="1:8" ht="10.5">
      <c r="A33" s="869"/>
      <c r="B33" s="605" t="s">
        <v>507</v>
      </c>
      <c r="C33" s="24" t="s">
        <v>80</v>
      </c>
      <c r="D33" s="24" t="s">
        <v>81</v>
      </c>
      <c r="E33" s="142" t="s">
        <v>82</v>
      </c>
      <c r="F33" s="24" t="s">
        <v>83</v>
      </c>
      <c r="G33" s="135" t="s">
        <v>51</v>
      </c>
      <c r="H33" s="282" t="s">
        <v>601</v>
      </c>
    </row>
    <row r="34" spans="1:8" ht="31.5">
      <c r="A34" s="736"/>
      <c r="B34" s="712"/>
      <c r="C34" s="87" t="s">
        <v>25</v>
      </c>
      <c r="D34" s="87" t="s">
        <v>26</v>
      </c>
      <c r="E34" s="143" t="s">
        <v>27</v>
      </c>
      <c r="F34" s="87" t="s">
        <v>602</v>
      </c>
      <c r="G34" s="87" t="s">
        <v>603</v>
      </c>
      <c r="H34" s="283" t="s">
        <v>513</v>
      </c>
    </row>
    <row r="35" spans="1:8" ht="20.25" customHeight="1">
      <c r="A35" s="18">
        <v>6220</v>
      </c>
      <c r="B35" s="69" t="s">
        <v>419</v>
      </c>
      <c r="C35" s="52"/>
      <c r="D35" s="52"/>
      <c r="E35" s="117"/>
      <c r="F35" s="52"/>
      <c r="G35" s="136"/>
      <c r="H35" s="54"/>
    </row>
    <row r="36" spans="1:8" ht="23.25" customHeight="1">
      <c r="A36" s="18">
        <v>6230</v>
      </c>
      <c r="B36" s="69" t="s">
        <v>28</v>
      </c>
      <c r="C36" s="52"/>
      <c r="D36" s="52"/>
      <c r="E36" s="117"/>
      <c r="F36" s="52"/>
      <c r="G36" s="136"/>
      <c r="H36" s="54"/>
    </row>
    <row r="37" spans="1:8" ht="27" customHeight="1">
      <c r="A37" s="18">
        <v>6240</v>
      </c>
      <c r="B37" s="69" t="s">
        <v>9</v>
      </c>
      <c r="C37" s="52"/>
      <c r="D37" s="52"/>
      <c r="E37" s="117"/>
      <c r="F37" s="52"/>
      <c r="G37" s="136"/>
      <c r="H37" s="54"/>
    </row>
    <row r="38" spans="1:8" ht="15.75" customHeight="1">
      <c r="A38" s="18"/>
      <c r="B38" s="11" t="s">
        <v>442</v>
      </c>
      <c r="C38" s="29" t="s">
        <v>84</v>
      </c>
      <c r="D38" s="29" t="s">
        <v>85</v>
      </c>
      <c r="E38" s="140" t="s">
        <v>86</v>
      </c>
      <c r="F38" s="29" t="s">
        <v>604</v>
      </c>
      <c r="G38" s="204" t="s">
        <v>605</v>
      </c>
      <c r="H38" s="284"/>
    </row>
    <row r="39" spans="1:8" ht="21">
      <c r="A39" s="18">
        <v>6250</v>
      </c>
      <c r="B39" s="69" t="s">
        <v>825</v>
      </c>
      <c r="C39" s="52"/>
      <c r="D39" s="52"/>
      <c r="E39" s="117"/>
      <c r="F39" s="52"/>
      <c r="G39" s="136"/>
      <c r="H39" s="54"/>
    </row>
    <row r="40" spans="1:8" ht="25.5" customHeight="1">
      <c r="A40" s="18">
        <v>6260</v>
      </c>
      <c r="B40" s="69" t="s">
        <v>28</v>
      </c>
      <c r="C40" s="52"/>
      <c r="D40" s="52"/>
      <c r="E40" s="117"/>
      <c r="F40" s="52"/>
      <c r="G40" s="136"/>
      <c r="H40" s="54"/>
    </row>
    <row r="41" spans="1:8" ht="23.25" customHeight="1">
      <c r="A41" s="18">
        <v>6270</v>
      </c>
      <c r="B41" s="69" t="s">
        <v>826</v>
      </c>
      <c r="C41" s="52"/>
      <c r="D41" s="52"/>
      <c r="E41" s="117"/>
      <c r="F41" s="52"/>
      <c r="G41" s="136"/>
      <c r="H41" s="54"/>
    </row>
    <row r="42" spans="1:8" ht="21" customHeight="1">
      <c r="A42" s="18">
        <v>6280</v>
      </c>
      <c r="B42" s="69" t="s">
        <v>28</v>
      </c>
      <c r="C42" s="52"/>
      <c r="D42" s="52"/>
      <c r="E42" s="117"/>
      <c r="F42" s="52"/>
      <c r="G42" s="136"/>
      <c r="H42" s="54"/>
    </row>
    <row r="43" spans="1:8" ht="21">
      <c r="A43" s="18"/>
      <c r="B43" s="11" t="s">
        <v>519</v>
      </c>
      <c r="C43" s="29" t="s">
        <v>84</v>
      </c>
      <c r="D43" s="29" t="s">
        <v>85</v>
      </c>
      <c r="E43" s="29" t="s">
        <v>86</v>
      </c>
      <c r="F43" s="29" t="s">
        <v>604</v>
      </c>
      <c r="G43" s="29" t="s">
        <v>605</v>
      </c>
      <c r="H43" s="284"/>
    </row>
    <row r="44" spans="1:8" ht="24.75" customHeight="1">
      <c r="A44" s="18">
        <v>6290</v>
      </c>
      <c r="B44" s="69" t="s">
        <v>419</v>
      </c>
      <c r="C44" s="63"/>
      <c r="D44" s="63"/>
      <c r="E44" s="63"/>
      <c r="F44" s="63"/>
      <c r="G44" s="63"/>
      <c r="H44" s="113"/>
    </row>
    <row r="45" spans="1:8" ht="27" customHeight="1" thickBot="1">
      <c r="A45" s="19">
        <v>6300</v>
      </c>
      <c r="B45" s="70" t="s">
        <v>29</v>
      </c>
      <c r="C45" s="262"/>
      <c r="D45" s="262"/>
      <c r="E45" s="262"/>
      <c r="F45" s="262"/>
      <c r="G45" s="262"/>
      <c r="H45" s="195"/>
    </row>
    <row r="46" spans="1:8" ht="11.25" thickBot="1">
      <c r="A46" s="81"/>
      <c r="B46" s="186"/>
      <c r="C46" s="161"/>
      <c r="D46" s="161"/>
      <c r="E46" s="161"/>
      <c r="F46" s="161"/>
      <c r="G46" s="161"/>
      <c r="H46" s="161"/>
    </row>
    <row r="47" spans="1:8" ht="24" customHeight="1" thickBot="1">
      <c r="A47" s="350">
        <v>6310</v>
      </c>
      <c r="B47" s="870" t="s">
        <v>9</v>
      </c>
      <c r="C47" s="871"/>
      <c r="D47" s="871"/>
      <c r="E47" s="871"/>
      <c r="F47" s="351" t="str">
        <f>HYPERLINK(CONCATENATE(Filename,"Ins6310"),"(instructions)")</f>
        <v>(instructions)</v>
      </c>
      <c r="G47" s="352"/>
      <c r="H47" s="209"/>
    </row>
    <row r="48" spans="1:8" ht="10.5">
      <c r="A48" s="12"/>
      <c r="C48" s="2"/>
      <c r="D48" s="2"/>
      <c r="H48" s="12"/>
    </row>
    <row r="49" spans="1:8" ht="15.75" thickBot="1">
      <c r="A49" s="131" t="s">
        <v>786</v>
      </c>
      <c r="B49" s="2"/>
      <c r="C49" s="2"/>
      <c r="D49" s="2"/>
      <c r="H49" s="12"/>
    </row>
    <row r="50" spans="1:8" ht="12.75" customHeight="1">
      <c r="A50" s="843"/>
      <c r="B50" s="24" t="s">
        <v>733</v>
      </c>
      <c r="C50" s="846" t="s">
        <v>734</v>
      </c>
      <c r="D50" s="846"/>
      <c r="E50" s="793" t="s">
        <v>735</v>
      </c>
      <c r="F50" s="877"/>
      <c r="G50" s="794"/>
      <c r="H50" s="188"/>
    </row>
    <row r="51" spans="1:8" ht="136.5">
      <c r="A51" s="844"/>
      <c r="B51" s="847" t="s">
        <v>20</v>
      </c>
      <c r="C51" s="44" t="s">
        <v>1066</v>
      </c>
      <c r="D51" s="44" t="s">
        <v>736</v>
      </c>
      <c r="E51" s="141" t="s">
        <v>1067</v>
      </c>
      <c r="F51" s="44" t="s">
        <v>840</v>
      </c>
      <c r="G51" s="44" t="s">
        <v>1536</v>
      </c>
      <c r="H51" s="189" t="s">
        <v>1078</v>
      </c>
    </row>
    <row r="52" spans="1:8" ht="10.5">
      <c r="A52" s="845"/>
      <c r="B52" s="848"/>
      <c r="C52" s="451" t="str">
        <f>HYPERLINK(CONCATENATE(Filename,"Ins6320_6440_A"),"(instructions)")</f>
        <v>(instructions)</v>
      </c>
      <c r="D52" s="451" t="str">
        <f>HYPERLINK(CONCATENATE(Filename,"Ins6320_6440_B"),"(instructions)")</f>
        <v>(instructions)</v>
      </c>
      <c r="E52" s="345" t="str">
        <f>HYPERLINK(CONCATENATE(Filename,"Ins6320_6440_C"),"(instructions)")</f>
        <v>(instructions)</v>
      </c>
      <c r="F52" s="353" t="str">
        <f>HYPERLINK(CONCATENATE(Filename,"Ins6320_6440_D"),"(instructions)")</f>
        <v>(instructions)</v>
      </c>
      <c r="G52" s="353" t="str">
        <f>HYPERLINK(CONCATENATE(Filename,"Ins6320_6440_E"),"(instructions)")</f>
        <v>(instructions)</v>
      </c>
      <c r="H52" s="378"/>
    </row>
    <row r="53" spans="1:8" ht="21">
      <c r="A53" s="18">
        <v>6320</v>
      </c>
      <c r="B53" s="65" t="s">
        <v>52</v>
      </c>
      <c r="C53" s="146" t="s">
        <v>510</v>
      </c>
      <c r="D53" s="52"/>
      <c r="E53" s="145" t="s">
        <v>510</v>
      </c>
      <c r="F53" s="146" t="s">
        <v>510</v>
      </c>
      <c r="G53" s="146" t="s">
        <v>510</v>
      </c>
      <c r="H53" s="261" t="s">
        <v>510</v>
      </c>
    </row>
    <row r="54" spans="1:8" ht="21">
      <c r="A54" s="18">
        <v>6330</v>
      </c>
      <c r="B54" s="65" t="s">
        <v>606</v>
      </c>
      <c r="C54" s="146" t="s">
        <v>510</v>
      </c>
      <c r="D54" s="52"/>
      <c r="E54" s="145" t="s">
        <v>510</v>
      </c>
      <c r="F54" s="146" t="s">
        <v>510</v>
      </c>
      <c r="G54" s="146" t="s">
        <v>510</v>
      </c>
      <c r="H54" s="261" t="s">
        <v>510</v>
      </c>
    </row>
    <row r="55" spans="1:8" ht="21">
      <c r="A55" s="18">
        <v>6340</v>
      </c>
      <c r="B55" s="82" t="s">
        <v>737</v>
      </c>
      <c r="C55" s="146" t="s">
        <v>510</v>
      </c>
      <c r="D55" s="52"/>
      <c r="E55" s="145" t="s">
        <v>510</v>
      </c>
      <c r="F55" s="146" t="s">
        <v>510</v>
      </c>
      <c r="G55" s="146" t="s">
        <v>510</v>
      </c>
      <c r="H55" s="261" t="s">
        <v>510</v>
      </c>
    </row>
    <row r="56" spans="1:8" ht="21">
      <c r="A56" s="18">
        <v>6350</v>
      </c>
      <c r="B56" s="82" t="s">
        <v>738</v>
      </c>
      <c r="C56" s="146" t="s">
        <v>510</v>
      </c>
      <c r="D56" s="52"/>
      <c r="E56" s="145" t="s">
        <v>510</v>
      </c>
      <c r="F56" s="146" t="s">
        <v>510</v>
      </c>
      <c r="G56" s="146" t="s">
        <v>510</v>
      </c>
      <c r="H56" s="261" t="s">
        <v>510</v>
      </c>
    </row>
    <row r="57" spans="1:8" ht="21">
      <c r="A57" s="18">
        <v>6360</v>
      </c>
      <c r="B57" s="197" t="s">
        <v>420</v>
      </c>
      <c r="C57" s="146" t="s">
        <v>510</v>
      </c>
      <c r="D57" s="52"/>
      <c r="E57" s="145" t="s">
        <v>510</v>
      </c>
      <c r="F57" s="146" t="s">
        <v>510</v>
      </c>
      <c r="G57" s="146" t="s">
        <v>510</v>
      </c>
      <c r="H57" s="261" t="s">
        <v>510</v>
      </c>
    </row>
    <row r="58" spans="1:8" ht="21">
      <c r="A58" s="18">
        <v>6370</v>
      </c>
      <c r="B58" s="197" t="s">
        <v>398</v>
      </c>
      <c r="C58" s="146" t="s">
        <v>510</v>
      </c>
      <c r="D58" s="52"/>
      <c r="E58" s="145" t="s">
        <v>510</v>
      </c>
      <c r="F58" s="146" t="s">
        <v>510</v>
      </c>
      <c r="G58" s="146" t="s">
        <v>510</v>
      </c>
      <c r="H58" s="261" t="s">
        <v>510</v>
      </c>
    </row>
    <row r="59" spans="1:8" ht="21">
      <c r="A59" s="18">
        <v>6380</v>
      </c>
      <c r="B59" s="65" t="s">
        <v>827</v>
      </c>
      <c r="C59" s="146" t="s">
        <v>510</v>
      </c>
      <c r="D59" s="52"/>
      <c r="E59" s="145" t="s">
        <v>510</v>
      </c>
      <c r="F59" s="146" t="s">
        <v>510</v>
      </c>
      <c r="G59" s="146" t="s">
        <v>510</v>
      </c>
      <c r="H59" s="261" t="s">
        <v>510</v>
      </c>
    </row>
    <row r="60" spans="1:8" ht="21">
      <c r="A60" s="18">
        <v>6390</v>
      </c>
      <c r="B60" s="65" t="s">
        <v>828</v>
      </c>
      <c r="C60" s="146" t="s">
        <v>510</v>
      </c>
      <c r="D60" s="52"/>
      <c r="E60" s="145" t="s">
        <v>510</v>
      </c>
      <c r="F60" s="146" t="s">
        <v>510</v>
      </c>
      <c r="G60" s="146" t="s">
        <v>510</v>
      </c>
      <c r="H60" s="261" t="s">
        <v>510</v>
      </c>
    </row>
    <row r="61" spans="1:8" ht="21">
      <c r="A61" s="18">
        <v>6400</v>
      </c>
      <c r="B61" s="82" t="s">
        <v>739</v>
      </c>
      <c r="C61" s="146" t="s">
        <v>510</v>
      </c>
      <c r="D61" s="52"/>
      <c r="E61" s="145" t="s">
        <v>510</v>
      </c>
      <c r="F61" s="146" t="s">
        <v>510</v>
      </c>
      <c r="G61" s="146" t="s">
        <v>510</v>
      </c>
      <c r="H61" s="261" t="s">
        <v>510</v>
      </c>
    </row>
    <row r="62" spans="1:8" ht="21">
      <c r="A62" s="18">
        <v>6410</v>
      </c>
      <c r="B62" s="65" t="s">
        <v>740</v>
      </c>
      <c r="C62" s="146" t="s">
        <v>510</v>
      </c>
      <c r="D62" s="52"/>
      <c r="E62" s="145" t="s">
        <v>510</v>
      </c>
      <c r="F62" s="146" t="s">
        <v>510</v>
      </c>
      <c r="G62" s="146" t="s">
        <v>510</v>
      </c>
      <c r="H62" s="261" t="s">
        <v>510</v>
      </c>
    </row>
    <row r="63" spans="1:8" ht="21">
      <c r="A63" s="243">
        <v>6420</v>
      </c>
      <c r="B63" s="473" t="s">
        <v>1076</v>
      </c>
      <c r="C63" s="242" t="s">
        <v>510</v>
      </c>
      <c r="D63" s="245"/>
      <c r="E63" s="449" t="s">
        <v>510</v>
      </c>
      <c r="F63" s="242" t="s">
        <v>510</v>
      </c>
      <c r="G63" s="242" t="s">
        <v>510</v>
      </c>
      <c r="H63" s="261" t="s">
        <v>510</v>
      </c>
    </row>
    <row r="64" spans="1:8" ht="21">
      <c r="A64" s="243">
        <v>6430</v>
      </c>
      <c r="B64" s="473" t="s">
        <v>1077</v>
      </c>
      <c r="C64" s="242" t="s">
        <v>510</v>
      </c>
      <c r="D64" s="245"/>
      <c r="E64" s="449" t="s">
        <v>510</v>
      </c>
      <c r="F64" s="242" t="s">
        <v>510</v>
      </c>
      <c r="G64" s="242" t="s">
        <v>510</v>
      </c>
      <c r="H64" s="261" t="s">
        <v>510</v>
      </c>
    </row>
    <row r="65" spans="1:8" ht="21.75" thickBot="1">
      <c r="A65" s="19">
        <v>6440</v>
      </c>
      <c r="B65" s="84" t="s">
        <v>741</v>
      </c>
      <c r="C65" s="147" t="s">
        <v>510</v>
      </c>
      <c r="D65" s="47"/>
      <c r="E65" s="313" t="s">
        <v>510</v>
      </c>
      <c r="F65" s="147" t="s">
        <v>510</v>
      </c>
      <c r="G65" s="147" t="s">
        <v>510</v>
      </c>
      <c r="H65" s="450" t="s">
        <v>510</v>
      </c>
    </row>
    <row r="66" spans="1:8" ht="11.25" thickBot="1">
      <c r="A66" s="12"/>
      <c r="B66" s="2"/>
      <c r="C66" s="2"/>
      <c r="D66" s="2"/>
      <c r="H66" s="12"/>
    </row>
    <row r="67" spans="1:8" ht="33" customHeight="1">
      <c r="A67" s="356">
        <v>6450</v>
      </c>
      <c r="B67" s="878" t="s">
        <v>1537</v>
      </c>
      <c r="C67" s="766"/>
      <c r="D67" s="766"/>
      <c r="E67" s="766"/>
      <c r="F67" s="256" t="str">
        <f>HYPERLINK(CONCATENATE(Filename,"Ins6450"),"(instructions)")</f>
        <v>(instructions)</v>
      </c>
      <c r="G67" s="860" t="s">
        <v>510</v>
      </c>
      <c r="H67" s="861"/>
    </row>
    <row r="68" spans="1:8" ht="27" customHeight="1">
      <c r="A68" s="354">
        <v>6460</v>
      </c>
      <c r="B68" s="783" t="s">
        <v>841</v>
      </c>
      <c r="C68" s="806"/>
      <c r="D68" s="806"/>
      <c r="E68" s="806"/>
      <c r="F68" s="75" t="str">
        <f>HYPERLINK(CONCATENATE(Filename,"Ins6460"),"(instructions)")</f>
        <v>(instructions)</v>
      </c>
      <c r="G68" s="864" t="s">
        <v>510</v>
      </c>
      <c r="H68" s="865"/>
    </row>
    <row r="69" spans="1:8" ht="38.25" customHeight="1">
      <c r="A69" s="354">
        <v>6470</v>
      </c>
      <c r="B69" s="783" t="s">
        <v>842</v>
      </c>
      <c r="C69" s="806"/>
      <c r="D69" s="806"/>
      <c r="E69" s="806"/>
      <c r="F69" s="75" t="str">
        <f>HYPERLINK(CONCATENATE(Filename,"Ins6470"),"(instructions)")</f>
        <v>(instructions)</v>
      </c>
      <c r="G69" s="822"/>
      <c r="H69" s="823"/>
    </row>
    <row r="70" spans="1:8" ht="27" customHeight="1">
      <c r="A70" s="448">
        <v>6480</v>
      </c>
      <c r="B70" s="807" t="s">
        <v>844</v>
      </c>
      <c r="C70" s="808"/>
      <c r="D70" s="808"/>
      <c r="E70" s="808"/>
      <c r="F70" s="452" t="str">
        <f>HYPERLINK(CONCATENATE(Filename,"Ins6480"),"(instructions)")</f>
        <v>(instructions)</v>
      </c>
      <c r="G70" s="862" t="s">
        <v>510</v>
      </c>
      <c r="H70" s="863"/>
    </row>
    <row r="71" spans="1:8" ht="27" customHeight="1">
      <c r="A71" s="354">
        <v>6490</v>
      </c>
      <c r="B71" s="879" t="s">
        <v>1416</v>
      </c>
      <c r="C71" s="880"/>
      <c r="D71" s="880"/>
      <c r="E71" s="880"/>
      <c r="F71" s="75" t="str">
        <f>HYPERLINK(CONCATENATE(Filename,"Ins6490"),"(instructions)")</f>
        <v>(instructions)</v>
      </c>
      <c r="G71" s="824" t="s">
        <v>510</v>
      </c>
      <c r="H71" s="825"/>
    </row>
    <row r="72" spans="1:8" ht="27" customHeight="1">
      <c r="A72" s="354">
        <v>6500</v>
      </c>
      <c r="B72" s="783" t="s">
        <v>1418</v>
      </c>
      <c r="C72" s="806"/>
      <c r="D72" s="806"/>
      <c r="E72" s="806"/>
      <c r="F72" s="75" t="str">
        <f>HYPERLINK(CONCATENATE(Filename,"Ins6500"),"(instructions)")</f>
        <v>(instructions)</v>
      </c>
      <c r="G72" s="824" t="s">
        <v>510</v>
      </c>
      <c r="H72" s="825"/>
    </row>
    <row r="73" spans="1:8" ht="27" customHeight="1" thickBot="1">
      <c r="A73" s="355">
        <v>6510</v>
      </c>
      <c r="B73" s="785" t="s">
        <v>1419</v>
      </c>
      <c r="C73" s="833"/>
      <c r="D73" s="833"/>
      <c r="E73" s="833"/>
      <c r="F73" s="302" t="str">
        <f>HYPERLINK(CONCATENATE(Filename,"Ins6510"),"(instructions)")</f>
        <v>(instructions)</v>
      </c>
      <c r="G73" s="826" t="s">
        <v>510</v>
      </c>
      <c r="H73" s="827"/>
    </row>
    <row r="74" spans="1:8" ht="10.5">
      <c r="A74" s="12"/>
      <c r="B74" s="12"/>
      <c r="C74" s="12"/>
      <c r="D74" s="12"/>
      <c r="E74" s="12"/>
      <c r="F74" s="12"/>
      <c r="G74" s="12"/>
      <c r="H74" s="12"/>
    </row>
    <row r="75" spans="1:8" ht="15.75" thickBot="1">
      <c r="A75" s="131" t="s">
        <v>787</v>
      </c>
      <c r="B75" s="2"/>
      <c r="C75" s="2"/>
      <c r="D75" s="2"/>
      <c r="H75" s="12"/>
    </row>
    <row r="76" spans="1:8" ht="26.25" customHeight="1">
      <c r="A76" s="198">
        <v>6520</v>
      </c>
      <c r="B76" s="874" t="s">
        <v>1080</v>
      </c>
      <c r="C76" s="875"/>
      <c r="D76" s="875"/>
      <c r="E76" s="875"/>
      <c r="F76" s="876"/>
      <c r="G76" s="872" t="s">
        <v>510</v>
      </c>
      <c r="H76" s="873"/>
    </row>
    <row r="77" spans="1:8" ht="16.5" customHeight="1">
      <c r="A77" s="206">
        <v>6530</v>
      </c>
      <c r="B77" s="798" t="s">
        <v>458</v>
      </c>
      <c r="C77" s="799"/>
      <c r="D77" s="799"/>
      <c r="E77" s="799"/>
      <c r="F77" s="75" t="str">
        <f>HYPERLINK(CONCATENATE(Filename,"Ins6530"),"(instructions)")</f>
        <v>(instructions)</v>
      </c>
      <c r="G77" s="830" t="s">
        <v>510</v>
      </c>
      <c r="H77" s="831"/>
    </row>
    <row r="78" spans="1:8" ht="16.5" customHeight="1">
      <c r="A78" s="206">
        <v>6540</v>
      </c>
      <c r="B78" s="832" t="s">
        <v>459</v>
      </c>
      <c r="C78" s="832"/>
      <c r="D78" s="832"/>
      <c r="E78" s="743"/>
      <c r="F78" s="75" t="str">
        <f>HYPERLINK(CONCATENATE(Filename,"Ins6540"),"(instructions)")</f>
        <v>(instructions)</v>
      </c>
      <c r="G78" s="815" t="s">
        <v>510</v>
      </c>
      <c r="H78" s="816"/>
    </row>
    <row r="79" spans="1:8" ht="45.75" customHeight="1">
      <c r="A79" s="205">
        <v>6550</v>
      </c>
      <c r="B79" s="849" t="s">
        <v>1538</v>
      </c>
      <c r="C79" s="850"/>
      <c r="D79" s="850"/>
      <c r="E79" s="850"/>
      <c r="F79" s="850"/>
      <c r="G79" s="851"/>
      <c r="H79" s="852"/>
    </row>
    <row r="80" spans="1:8" ht="30" customHeight="1">
      <c r="A80" s="206">
        <v>6560</v>
      </c>
      <c r="B80" s="798" t="s">
        <v>1421</v>
      </c>
      <c r="C80" s="799"/>
      <c r="D80" s="799"/>
      <c r="E80" s="799"/>
      <c r="F80" s="75" t="str">
        <f>HYPERLINK(CONCATENATE(Filename,"Ins6560"),"(instructions)")</f>
        <v>(instructions)</v>
      </c>
      <c r="G80" s="914"/>
      <c r="H80" s="915"/>
    </row>
    <row r="81" spans="1:8" ht="30" customHeight="1">
      <c r="A81" s="206">
        <v>6570</v>
      </c>
      <c r="B81" s="798" t="s">
        <v>1423</v>
      </c>
      <c r="C81" s="799"/>
      <c r="D81" s="799"/>
      <c r="E81" s="799"/>
      <c r="F81" s="75" t="str">
        <f>HYPERLINK(CONCATENATE(Filename,"Ins6570"),"(instructions)")</f>
        <v>(instructions)</v>
      </c>
      <c r="G81" s="916" t="s">
        <v>510</v>
      </c>
      <c r="H81" s="917"/>
    </row>
    <row r="82" spans="1:8" ht="16.5" customHeight="1">
      <c r="A82" s="206">
        <v>6580</v>
      </c>
      <c r="B82" s="798" t="s">
        <v>1068</v>
      </c>
      <c r="C82" s="799"/>
      <c r="D82" s="799"/>
      <c r="E82" s="799"/>
      <c r="F82" s="800"/>
      <c r="G82" s="815" t="s">
        <v>510</v>
      </c>
      <c r="H82" s="816"/>
    </row>
    <row r="83" spans="1:8" ht="16.5" customHeight="1">
      <c r="A83" s="796">
        <v>6590</v>
      </c>
      <c r="B83" s="809" t="s">
        <v>1069</v>
      </c>
      <c r="C83" s="798"/>
      <c r="D83" s="811" t="str">
        <f>HYPERLINK(CONCATENATE(Filename,"Ins6590"),"(instructions)")</f>
        <v>(instructions)</v>
      </c>
      <c r="E83" s="813" t="s">
        <v>514</v>
      </c>
      <c r="F83" s="813"/>
      <c r="G83" s="815" t="s">
        <v>510</v>
      </c>
      <c r="H83" s="816"/>
    </row>
    <row r="84" spans="1:8" ht="16.5" customHeight="1">
      <c r="A84" s="796"/>
      <c r="B84" s="809"/>
      <c r="C84" s="798"/>
      <c r="D84" s="811"/>
      <c r="E84" s="813" t="s">
        <v>100</v>
      </c>
      <c r="F84" s="813"/>
      <c r="G84" s="815" t="s">
        <v>510</v>
      </c>
      <c r="H84" s="816"/>
    </row>
    <row r="85" spans="1:8" ht="16.5" customHeight="1">
      <c r="A85" s="796"/>
      <c r="B85" s="809"/>
      <c r="C85" s="798"/>
      <c r="D85" s="811"/>
      <c r="E85" s="813" t="s">
        <v>101</v>
      </c>
      <c r="F85" s="813"/>
      <c r="G85" s="815" t="s">
        <v>510</v>
      </c>
      <c r="H85" s="816"/>
    </row>
    <row r="86" spans="1:8" ht="16.5" customHeight="1" thickBot="1">
      <c r="A86" s="797"/>
      <c r="B86" s="679"/>
      <c r="C86" s="810"/>
      <c r="D86" s="812"/>
      <c r="E86" s="801" t="s">
        <v>102</v>
      </c>
      <c r="F86" s="801"/>
      <c r="G86" s="677" t="s">
        <v>510</v>
      </c>
      <c r="H86" s="678"/>
    </row>
    <row r="87" spans="1:8" ht="10.5">
      <c r="A87" s="81"/>
      <c r="B87" s="159"/>
      <c r="C87" s="159"/>
      <c r="D87" s="159"/>
      <c r="E87" s="159"/>
      <c r="F87" s="159"/>
      <c r="G87" s="159"/>
      <c r="H87" s="159"/>
    </row>
    <row r="88" spans="1:8" ht="15.75" thickBot="1">
      <c r="A88" s="279" t="s">
        <v>788</v>
      </c>
      <c r="B88" s="266"/>
      <c r="C88" s="266"/>
      <c r="D88" s="266"/>
      <c r="E88" s="266"/>
      <c r="F88" s="266"/>
      <c r="G88" s="285"/>
      <c r="H88" s="286"/>
    </row>
    <row r="89" spans="1:8" ht="21.75" customHeight="1">
      <c r="A89" s="178">
        <v>6600</v>
      </c>
      <c r="B89" s="802" t="s">
        <v>1539</v>
      </c>
      <c r="C89" s="803"/>
      <c r="D89" s="803"/>
      <c r="E89" s="803"/>
      <c r="F89" s="256" t="str">
        <f>HYPERLINK(CONCATENATE(Filename,"Ins6440_6460"),"(instructions)")</f>
        <v>(instructions)</v>
      </c>
      <c r="G89" s="668" t="s">
        <v>510</v>
      </c>
      <c r="H89" s="669"/>
    </row>
    <row r="90" spans="1:8" ht="47.25" customHeight="1">
      <c r="A90" s="179">
        <v>6610</v>
      </c>
      <c r="B90" s="646" t="s">
        <v>1540</v>
      </c>
      <c r="C90" s="647"/>
      <c r="D90" s="647"/>
      <c r="E90" s="647"/>
      <c r="F90" s="75" t="str">
        <f>HYPERLINK(CONCATENATE(Filename,"Ins_F4"),"(instructions)")</f>
        <v>(instructions)</v>
      </c>
      <c r="G90" s="287"/>
      <c r="H90" s="261" t="s">
        <v>510</v>
      </c>
    </row>
    <row r="91" spans="1:8" ht="47.25" customHeight="1">
      <c r="A91" s="179">
        <v>6620</v>
      </c>
      <c r="B91" s="646" t="s">
        <v>1541</v>
      </c>
      <c r="C91" s="647"/>
      <c r="D91" s="647"/>
      <c r="E91" s="647"/>
      <c r="F91" s="75" t="str">
        <f>HYPERLINK(CONCATENATE(Filename,"Ins_F5"),"(instructions)")</f>
        <v>(instructions)</v>
      </c>
      <c r="G91" s="288"/>
      <c r="H91" s="261" t="s">
        <v>510</v>
      </c>
    </row>
    <row r="92" spans="1:8" ht="32.25" customHeight="1">
      <c r="A92" s="179">
        <v>6630</v>
      </c>
      <c r="B92" s="820" t="s">
        <v>1319</v>
      </c>
      <c r="C92" s="821"/>
      <c r="D92" s="821"/>
      <c r="E92" s="821"/>
      <c r="F92" s="75" t="str">
        <f>HYPERLINK(CONCATENATE(Filename,"Ins_F6"),"(instructions)")</f>
        <v>(instructions)</v>
      </c>
      <c r="G92" s="804"/>
      <c r="H92" s="805"/>
    </row>
    <row r="93" spans="1:8" ht="80.25" customHeight="1">
      <c r="A93" s="179">
        <v>6640</v>
      </c>
      <c r="B93" s="646" t="s">
        <v>1542</v>
      </c>
      <c r="C93" s="647"/>
      <c r="D93" s="647"/>
      <c r="E93" s="647"/>
      <c r="F93" s="75" t="str">
        <f>HYPERLINK(CONCATENATE(Filename,"Ins_F7"),"(instructions)")</f>
        <v>(instructions)</v>
      </c>
      <c r="G93" s="289"/>
      <c r="H93" s="261" t="s">
        <v>510</v>
      </c>
    </row>
    <row r="94" spans="1:8" ht="45.75" customHeight="1">
      <c r="A94" s="179">
        <v>6650</v>
      </c>
      <c r="B94" s="646" t="s">
        <v>1543</v>
      </c>
      <c r="C94" s="647"/>
      <c r="D94" s="647"/>
      <c r="E94" s="647"/>
      <c r="F94" s="75" t="str">
        <f>HYPERLINK(CONCATENATE(Filename,"Ins_F8"),"(instructions)")</f>
        <v>(instructions)</v>
      </c>
      <c r="G94" s="290"/>
      <c r="H94" s="261" t="s">
        <v>510</v>
      </c>
    </row>
    <row r="95" spans="1:8" ht="33.75" customHeight="1" thickBot="1">
      <c r="A95" s="359">
        <v>6660</v>
      </c>
      <c r="B95" s="817" t="s">
        <v>1321</v>
      </c>
      <c r="C95" s="817"/>
      <c r="D95" s="817"/>
      <c r="E95" s="817"/>
      <c r="F95" s="360" t="str">
        <f>HYPERLINK(CONCATENATE(Filename,"Ins_F9"),"(instructions)")</f>
        <v>(instructions)</v>
      </c>
      <c r="G95" s="818"/>
      <c r="H95" s="819"/>
    </row>
    <row r="96" spans="1:8" ht="33.75" customHeight="1" thickBot="1">
      <c r="A96" s="180">
        <v>6670</v>
      </c>
      <c r="B96" s="361" t="s">
        <v>190</v>
      </c>
      <c r="C96" s="912"/>
      <c r="D96" s="912"/>
      <c r="E96" s="912"/>
      <c r="F96" s="912"/>
      <c r="G96" s="912"/>
      <c r="H96" s="913"/>
    </row>
    <row r="97" spans="1:8" ht="10.5">
      <c r="A97" s="185"/>
      <c r="B97" s="558" t="s">
        <v>852</v>
      </c>
      <c r="C97" s="558"/>
      <c r="D97" s="558"/>
      <c r="E97" s="558"/>
      <c r="F97" s="558"/>
      <c r="G97" s="558"/>
      <c r="H97" s="558"/>
    </row>
    <row r="98" spans="1:8" ht="21.75" customHeight="1">
      <c r="A98" s="185"/>
      <c r="B98" s="924" t="s">
        <v>853</v>
      </c>
      <c r="C98" s="925"/>
      <c r="D98" s="925"/>
      <c r="E98" s="925"/>
      <c r="F98" s="925"/>
      <c r="G98" s="925"/>
      <c r="H98" s="925"/>
    </row>
    <row r="99" spans="1:8" ht="21.75" customHeight="1" thickBot="1">
      <c r="A99" s="362" t="s">
        <v>854</v>
      </c>
      <c r="B99" s="371"/>
      <c r="C99" s="370"/>
      <c r="D99" s="370"/>
      <c r="E99" s="370"/>
      <c r="F99" s="374"/>
      <c r="G99" s="366"/>
      <c r="H99" s="366"/>
    </row>
    <row r="100" spans="1:8" ht="36" customHeight="1">
      <c r="A100" s="369">
        <v>6680</v>
      </c>
      <c r="B100" s="911" t="s">
        <v>1544</v>
      </c>
      <c r="C100" s="911"/>
      <c r="D100" s="911"/>
      <c r="E100" s="911"/>
      <c r="F100" s="911"/>
      <c r="G100" s="855" t="s">
        <v>510</v>
      </c>
      <c r="H100" s="856"/>
    </row>
    <row r="101" spans="1:8" ht="21.75" customHeight="1">
      <c r="A101" s="853">
        <v>6690</v>
      </c>
      <c r="B101" s="918" t="s">
        <v>1513</v>
      </c>
      <c r="C101" s="918"/>
      <c r="D101" s="919"/>
      <c r="E101" s="784" t="s">
        <v>855</v>
      </c>
      <c r="F101" s="840"/>
      <c r="G101" s="375" t="s">
        <v>510</v>
      </c>
      <c r="H101" s="381"/>
    </row>
    <row r="102" spans="1:8" ht="21.75" customHeight="1">
      <c r="A102" s="854"/>
      <c r="B102" s="920"/>
      <c r="C102" s="920"/>
      <c r="D102" s="921"/>
      <c r="E102" s="806" t="s">
        <v>856</v>
      </c>
      <c r="F102" s="784"/>
      <c r="G102" s="375" t="s">
        <v>510</v>
      </c>
      <c r="H102" s="381"/>
    </row>
    <row r="103" spans="1:8" ht="24" customHeight="1">
      <c r="A103" s="854"/>
      <c r="B103" s="920"/>
      <c r="C103" s="920"/>
      <c r="D103" s="921"/>
      <c r="E103" s="806" t="s">
        <v>857</v>
      </c>
      <c r="F103" s="784"/>
      <c r="G103" s="824" t="s">
        <v>510</v>
      </c>
      <c r="H103" s="825"/>
    </row>
    <row r="104" spans="1:8" ht="23.25" customHeight="1">
      <c r="A104" s="854"/>
      <c r="B104" s="920"/>
      <c r="C104" s="920"/>
      <c r="D104" s="921"/>
      <c r="E104" s="806" t="s">
        <v>858</v>
      </c>
      <c r="F104" s="784"/>
      <c r="G104" s="824" t="s">
        <v>510</v>
      </c>
      <c r="H104" s="825"/>
    </row>
    <row r="105" spans="1:8" ht="26.25" customHeight="1">
      <c r="A105" s="854"/>
      <c r="B105" s="920"/>
      <c r="C105" s="920"/>
      <c r="D105" s="921"/>
      <c r="E105" s="806" t="s">
        <v>860</v>
      </c>
      <c r="F105" s="784"/>
      <c r="G105" s="824" t="s">
        <v>510</v>
      </c>
      <c r="H105" s="825"/>
    </row>
    <row r="106" spans="1:8" ht="19.5" customHeight="1">
      <c r="A106" s="854"/>
      <c r="B106" s="920"/>
      <c r="C106" s="920"/>
      <c r="D106" s="921"/>
      <c r="E106" s="806" t="s">
        <v>886</v>
      </c>
      <c r="F106" s="784"/>
      <c r="G106" s="824" t="s">
        <v>510</v>
      </c>
      <c r="H106" s="825"/>
    </row>
    <row r="107" spans="1:8" ht="24.75" customHeight="1">
      <c r="A107" s="854"/>
      <c r="B107" s="920"/>
      <c r="C107" s="920"/>
      <c r="D107" s="921"/>
      <c r="E107" s="806" t="s">
        <v>888</v>
      </c>
      <c r="F107" s="784"/>
      <c r="G107" s="824" t="s">
        <v>510</v>
      </c>
      <c r="H107" s="825"/>
    </row>
    <row r="108" spans="1:8" ht="25.5" customHeight="1">
      <c r="A108" s="854"/>
      <c r="B108" s="920"/>
      <c r="C108" s="920"/>
      <c r="D108" s="921"/>
      <c r="E108" s="806" t="s">
        <v>1096</v>
      </c>
      <c r="F108" s="784"/>
      <c r="G108" s="376" t="s">
        <v>510</v>
      </c>
      <c r="H108" s="382"/>
    </row>
    <row r="109" spans="1:8" ht="25.5" customHeight="1">
      <c r="A109" s="854"/>
      <c r="B109" s="920"/>
      <c r="C109" s="920"/>
      <c r="D109" s="921"/>
      <c r="E109" s="806" t="s">
        <v>861</v>
      </c>
      <c r="F109" s="784"/>
      <c r="G109" s="824" t="s">
        <v>510</v>
      </c>
      <c r="H109" s="825"/>
    </row>
    <row r="110" spans="1:8" ht="34.5" customHeight="1">
      <c r="A110" s="854"/>
      <c r="B110" s="922"/>
      <c r="C110" s="922"/>
      <c r="D110" s="923"/>
      <c r="E110" s="806" t="s">
        <v>887</v>
      </c>
      <c r="F110" s="784"/>
      <c r="G110" s="824" t="s">
        <v>510</v>
      </c>
      <c r="H110" s="825"/>
    </row>
    <row r="111" spans="1:8" ht="28.5" customHeight="1">
      <c r="A111" s="372">
        <v>6700</v>
      </c>
      <c r="B111" s="840" t="s">
        <v>1070</v>
      </c>
      <c r="C111" s="840"/>
      <c r="D111" s="840"/>
      <c r="E111" s="840"/>
      <c r="F111" s="840"/>
      <c r="G111" s="841"/>
      <c r="H111" s="842"/>
    </row>
    <row r="112" spans="1:8" ht="30" customHeight="1">
      <c r="A112" s="372">
        <v>6710</v>
      </c>
      <c r="B112" s="840" t="s">
        <v>1071</v>
      </c>
      <c r="C112" s="840"/>
      <c r="D112" s="840"/>
      <c r="E112" s="840"/>
      <c r="F112" s="840"/>
      <c r="G112" s="824" t="s">
        <v>510</v>
      </c>
      <c r="H112" s="825"/>
    </row>
    <row r="113" spans="1:8" ht="26.25" customHeight="1">
      <c r="A113" s="373">
        <v>6720</v>
      </c>
      <c r="B113" s="767" t="s">
        <v>1072</v>
      </c>
      <c r="C113" s="767"/>
      <c r="D113" s="767"/>
      <c r="E113" s="767"/>
      <c r="F113" s="767"/>
      <c r="G113" s="838"/>
      <c r="H113" s="839"/>
    </row>
    <row r="114" spans="1:8" ht="36" customHeight="1" thickBot="1">
      <c r="A114" s="355">
        <v>6730</v>
      </c>
      <c r="B114" s="785" t="s">
        <v>1073</v>
      </c>
      <c r="C114" s="833"/>
      <c r="D114" s="833"/>
      <c r="E114" s="833"/>
      <c r="F114" s="786"/>
      <c r="G114" s="901"/>
      <c r="H114" s="902"/>
    </row>
    <row r="115" spans="1:8" ht="10.5">
      <c r="A115" s="365"/>
      <c r="B115" s="367"/>
      <c r="C115" s="367"/>
      <c r="D115" s="367"/>
      <c r="E115" s="367"/>
      <c r="F115" s="367"/>
      <c r="G115" s="368"/>
      <c r="H115" s="368"/>
    </row>
    <row r="116" spans="1:8" ht="15">
      <c r="A116" s="362" t="s">
        <v>866</v>
      </c>
      <c r="B116" s="367"/>
      <c r="C116" s="367"/>
      <c r="D116" s="367"/>
      <c r="E116" s="367"/>
      <c r="F116" s="367"/>
      <c r="G116" s="368"/>
      <c r="H116" s="368"/>
    </row>
    <row r="117" spans="1:8" ht="11.25" thickBot="1">
      <c r="A117" s="792" t="str">
        <f>HYPERLINK(CONCATENATE(Filename,"Ins_Hesitancy"),"(instructions)")</f>
        <v>(instructions)</v>
      </c>
      <c r="B117" s="792"/>
      <c r="C117" s="367"/>
      <c r="D117" s="367"/>
      <c r="E117" s="367"/>
      <c r="F117" s="367"/>
      <c r="G117" s="368"/>
      <c r="H117" s="368"/>
    </row>
    <row r="118" spans="1:8" ht="41.25" customHeight="1">
      <c r="A118" s="898" t="s">
        <v>867</v>
      </c>
      <c r="B118" s="899"/>
      <c r="C118" s="899"/>
      <c r="D118" s="899"/>
      <c r="E118" s="899"/>
      <c r="F118" s="899"/>
      <c r="G118" s="899"/>
      <c r="H118" s="900"/>
    </row>
    <row r="119" spans="1:8" ht="22.5" customHeight="1">
      <c r="A119" s="890">
        <v>6740</v>
      </c>
      <c r="B119" s="892" t="s">
        <v>1514</v>
      </c>
      <c r="C119" s="893"/>
      <c r="D119" s="893"/>
      <c r="E119" s="893"/>
      <c r="F119" s="894"/>
      <c r="G119" s="836"/>
      <c r="H119" s="837"/>
    </row>
    <row r="120" spans="1:8" ht="18" customHeight="1">
      <c r="A120" s="890"/>
      <c r="B120" s="892"/>
      <c r="C120" s="893"/>
      <c r="D120" s="893"/>
      <c r="E120" s="893"/>
      <c r="F120" s="894"/>
      <c r="G120" s="836"/>
      <c r="H120" s="837"/>
    </row>
    <row r="121" spans="1:8" ht="20.25" customHeight="1">
      <c r="A121" s="891"/>
      <c r="B121" s="895"/>
      <c r="C121" s="896"/>
      <c r="D121" s="896"/>
      <c r="E121" s="896"/>
      <c r="F121" s="897"/>
      <c r="G121" s="836"/>
      <c r="H121" s="837"/>
    </row>
    <row r="122" spans="1:8" ht="26.25" customHeight="1">
      <c r="A122" s="363">
        <v>6750</v>
      </c>
      <c r="B122" s="783" t="s">
        <v>868</v>
      </c>
      <c r="C122" s="806"/>
      <c r="D122" s="806"/>
      <c r="E122" s="806"/>
      <c r="F122" s="784"/>
      <c r="G122" s="824" t="s">
        <v>510</v>
      </c>
      <c r="H122" s="825"/>
    </row>
    <row r="123" spans="1:8" ht="30" customHeight="1">
      <c r="A123" s="363">
        <v>6760</v>
      </c>
      <c r="B123" s="783" t="s">
        <v>1097</v>
      </c>
      <c r="C123" s="806"/>
      <c r="D123" s="806"/>
      <c r="E123" s="806"/>
      <c r="F123" s="784"/>
      <c r="G123" s="824" t="s">
        <v>510</v>
      </c>
      <c r="H123" s="825"/>
    </row>
    <row r="124" spans="1:8" ht="37.5" customHeight="1" thickBot="1">
      <c r="A124" s="364">
        <v>6770</v>
      </c>
      <c r="B124" s="785" t="s">
        <v>1545</v>
      </c>
      <c r="C124" s="833"/>
      <c r="D124" s="833"/>
      <c r="E124" s="833"/>
      <c r="F124" s="786"/>
      <c r="G124" s="834"/>
      <c r="H124" s="835"/>
    </row>
    <row r="125" spans="1:8" ht="37.5" customHeight="1">
      <c r="A125" s="365"/>
      <c r="B125" s="367"/>
      <c r="C125" s="367"/>
      <c r="D125" s="367"/>
      <c r="E125" s="367"/>
      <c r="F125" s="367"/>
      <c r="G125" s="494"/>
      <c r="H125" s="494"/>
    </row>
    <row r="126" spans="1:8" ht="37.5" customHeight="1" thickBot="1">
      <c r="A126" s="453" t="s">
        <v>1098</v>
      </c>
      <c r="B126" s="447"/>
      <c r="C126" s="447"/>
      <c r="D126" s="447"/>
      <c r="E126" s="447"/>
      <c r="F126" s="447"/>
      <c r="G126" s="209"/>
      <c r="H126" s="209"/>
    </row>
    <row r="127" spans="1:8" ht="67.5" customHeight="1">
      <c r="A127" s="178">
        <v>6780</v>
      </c>
      <c r="B127" s="802" t="s">
        <v>1425</v>
      </c>
      <c r="C127" s="926"/>
      <c r="D127" s="908" t="s">
        <v>1426</v>
      </c>
      <c r="E127" s="909"/>
      <c r="F127" s="910"/>
      <c r="G127" s="824" t="s">
        <v>510</v>
      </c>
      <c r="H127" s="825"/>
    </row>
    <row r="128" spans="1:8" ht="50.25" customHeight="1">
      <c r="A128" s="179">
        <v>6790</v>
      </c>
      <c r="B128" s="648"/>
      <c r="C128" s="927"/>
      <c r="D128" s="646" t="s">
        <v>1427</v>
      </c>
      <c r="E128" s="647"/>
      <c r="F128" s="652"/>
      <c r="G128" s="824" t="s">
        <v>510</v>
      </c>
      <c r="H128" s="825"/>
    </row>
    <row r="129" spans="1:8" ht="42" customHeight="1">
      <c r="A129" s="179">
        <v>6800</v>
      </c>
      <c r="B129" s="928"/>
      <c r="C129" s="929"/>
      <c r="D129" s="646" t="s">
        <v>1428</v>
      </c>
      <c r="E129" s="647"/>
      <c r="F129" s="652"/>
      <c r="G129" s="824" t="s">
        <v>510</v>
      </c>
      <c r="H129" s="825"/>
    </row>
    <row r="130" spans="1:8" ht="37.5" customHeight="1">
      <c r="A130" s="179">
        <v>6810</v>
      </c>
      <c r="B130" s="638" t="s">
        <v>1429</v>
      </c>
      <c r="C130" s="934"/>
      <c r="D130" s="930"/>
      <c r="E130" s="931"/>
      <c r="F130" s="931"/>
      <c r="G130" s="931"/>
      <c r="H130" s="932"/>
    </row>
    <row r="131" spans="1:8" ht="37.5" customHeight="1">
      <c r="A131" s="179">
        <v>6820</v>
      </c>
      <c r="B131" s="648"/>
      <c r="C131" s="927"/>
      <c r="D131" s="930"/>
      <c r="E131" s="931"/>
      <c r="F131" s="931"/>
      <c r="G131" s="931"/>
      <c r="H131" s="932"/>
    </row>
    <row r="132" spans="1:8" ht="48.75" customHeight="1" thickBot="1">
      <c r="A132" s="180">
        <v>6830</v>
      </c>
      <c r="B132" s="935"/>
      <c r="C132" s="936"/>
      <c r="D132" s="933"/>
      <c r="E132" s="912"/>
      <c r="F132" s="912"/>
      <c r="G132" s="912"/>
      <c r="H132" s="913"/>
    </row>
    <row r="135" ht="10.5">
      <c r="G135" s="150" t="str">
        <f>HYPERLINK(Filename&amp;"page8","Page suivante")</f>
        <v>Page suivante</v>
      </c>
    </row>
  </sheetData>
  <sheetProtection password="F319" sheet="1" selectLockedCells="1"/>
  <mergeCells count="138">
    <mergeCell ref="B98:H98"/>
    <mergeCell ref="D129:F129"/>
    <mergeCell ref="B127:C129"/>
    <mergeCell ref="D130:H130"/>
    <mergeCell ref="D131:H131"/>
    <mergeCell ref="D132:H132"/>
    <mergeCell ref="B130:C132"/>
    <mergeCell ref="D128:F128"/>
    <mergeCell ref="G129:H129"/>
    <mergeCell ref="G127:H127"/>
    <mergeCell ref="C96:H96"/>
    <mergeCell ref="B97:H97"/>
    <mergeCell ref="G80:H80"/>
    <mergeCell ref="G81:H81"/>
    <mergeCell ref="E101:F101"/>
    <mergeCell ref="B101:D110"/>
    <mergeCell ref="G103:H103"/>
    <mergeCell ref="G104:H104"/>
    <mergeCell ref="G105:H105"/>
    <mergeCell ref="G84:H84"/>
    <mergeCell ref="B100:F100"/>
    <mergeCell ref="E102:F102"/>
    <mergeCell ref="E105:F105"/>
    <mergeCell ref="E106:F106"/>
    <mergeCell ref="E109:F109"/>
    <mergeCell ref="E107:F107"/>
    <mergeCell ref="G128:H128"/>
    <mergeCell ref="G110:H110"/>
    <mergeCell ref="G109:H109"/>
    <mergeCell ref="E103:F103"/>
    <mergeCell ref="E104:F104"/>
    <mergeCell ref="E108:F108"/>
    <mergeCell ref="D127:F127"/>
    <mergeCell ref="G106:H106"/>
    <mergeCell ref="B123:F123"/>
    <mergeCell ref="G112:H112"/>
    <mergeCell ref="B16:C16"/>
    <mergeCell ref="B10:C10"/>
    <mergeCell ref="B14:C14"/>
    <mergeCell ref="B15:C15"/>
    <mergeCell ref="A11:F12"/>
    <mergeCell ref="C18:D18"/>
    <mergeCell ref="C17:D17"/>
    <mergeCell ref="B17:B19"/>
    <mergeCell ref="C19:D19"/>
    <mergeCell ref="A119:A121"/>
    <mergeCell ref="B119:F121"/>
    <mergeCell ref="A117:B117"/>
    <mergeCell ref="A118:H118"/>
    <mergeCell ref="B122:F122"/>
    <mergeCell ref="B113:F113"/>
    <mergeCell ref="G119:H119"/>
    <mergeCell ref="G122:H122"/>
    <mergeCell ref="G120:H120"/>
    <mergeCell ref="G114:H114"/>
    <mergeCell ref="A2:F2"/>
    <mergeCell ref="B8:D8"/>
    <mergeCell ref="B5:D5"/>
    <mergeCell ref="B9:D9"/>
    <mergeCell ref="B7:D7"/>
    <mergeCell ref="B13:D13"/>
    <mergeCell ref="A33:A34"/>
    <mergeCell ref="B33:B34"/>
    <mergeCell ref="B47:E47"/>
    <mergeCell ref="G76:H76"/>
    <mergeCell ref="B76:F76"/>
    <mergeCell ref="E50:G50"/>
    <mergeCell ref="B67:E67"/>
    <mergeCell ref="B71:E71"/>
    <mergeCell ref="B72:E72"/>
    <mergeCell ref="B73:E73"/>
    <mergeCell ref="C21:D21"/>
    <mergeCell ref="C29:D29"/>
    <mergeCell ref="G67:H67"/>
    <mergeCell ref="G70:H70"/>
    <mergeCell ref="G68:H68"/>
    <mergeCell ref="C22:D22"/>
    <mergeCell ref="B23:C23"/>
    <mergeCell ref="B20:B22"/>
    <mergeCell ref="B25:C25"/>
    <mergeCell ref="C20:D20"/>
    <mergeCell ref="A50:A52"/>
    <mergeCell ref="C50:D50"/>
    <mergeCell ref="B51:B52"/>
    <mergeCell ref="B79:F79"/>
    <mergeCell ref="G79:H79"/>
    <mergeCell ref="A101:A110"/>
    <mergeCell ref="E110:F110"/>
    <mergeCell ref="G100:H100"/>
    <mergeCell ref="G107:H107"/>
    <mergeCell ref="B80:E80"/>
    <mergeCell ref="G78:H78"/>
    <mergeCell ref="B124:F124"/>
    <mergeCell ref="G124:H124"/>
    <mergeCell ref="G121:H121"/>
    <mergeCell ref="G113:H113"/>
    <mergeCell ref="B114:F114"/>
    <mergeCell ref="B112:F112"/>
    <mergeCell ref="B111:F111"/>
    <mergeCell ref="G111:H111"/>
    <mergeCell ref="G123:H123"/>
    <mergeCell ref="G69:H69"/>
    <mergeCell ref="G71:H71"/>
    <mergeCell ref="G72:H72"/>
    <mergeCell ref="G73:H73"/>
    <mergeCell ref="G82:H82"/>
    <mergeCell ref="B26:C26"/>
    <mergeCell ref="B27:D27"/>
    <mergeCell ref="C28:D28"/>
    <mergeCell ref="G77:H77"/>
    <mergeCell ref="B78:E78"/>
    <mergeCell ref="B24:C24"/>
    <mergeCell ref="G83:H83"/>
    <mergeCell ref="G85:H85"/>
    <mergeCell ref="B95:E95"/>
    <mergeCell ref="G95:H95"/>
    <mergeCell ref="B90:E90"/>
    <mergeCell ref="B91:E91"/>
    <mergeCell ref="B92:E92"/>
    <mergeCell ref="E85:F85"/>
    <mergeCell ref="E84:F84"/>
    <mergeCell ref="G86:H86"/>
    <mergeCell ref="G89:H89"/>
    <mergeCell ref="B89:E89"/>
    <mergeCell ref="G92:H92"/>
    <mergeCell ref="B68:E68"/>
    <mergeCell ref="B69:E69"/>
    <mergeCell ref="B70:E70"/>
    <mergeCell ref="B83:C86"/>
    <mergeCell ref="D83:D86"/>
    <mergeCell ref="E83:F83"/>
    <mergeCell ref="A83:A86"/>
    <mergeCell ref="B93:E93"/>
    <mergeCell ref="B94:E94"/>
    <mergeCell ref="B82:F82"/>
    <mergeCell ref="B77:E77"/>
    <mergeCell ref="E86:F86"/>
    <mergeCell ref="B81:E81"/>
  </mergeCells>
  <dataValidations count="25">
    <dataValidation type="list" allowBlank="1" showInputMessage="1" showErrorMessage="1" error="Merci de choisir une donnée dans la liste." sqref="E24:E29">
      <formula1>DDL_Yes_No_NR</formula1>
    </dataValidation>
    <dataValidation type="list" allowBlank="1" showInputMessage="1" showErrorMessage="1" error="Merci de choisir un donnée dans la liste." sqref="E14:E22">
      <formula1>DDL_Yes_No_NR</formula1>
    </dataValidation>
    <dataValidation type="list" allowBlank="1" showErrorMessage="1" error="Merci de choisir une donnée dans la liste." sqref="E6 E8">
      <formula1>DDL_Yes_No_NR</formula1>
    </dataValidation>
    <dataValidation errorStyle="warning" type="decimal" operator="lessThanOrEqual" allowBlank="1" showErrorMessage="1" error="The number you have entered is greater than the total number of districts in the country&#10;&#10;OR&#10;&#10;Your entry is not a number." sqref="E9 H47">
      <formula1>Q_0080</formula1>
    </dataValidation>
    <dataValidation allowBlank="1" showInputMessage="1" sqref="C35:G35 C39:G39"/>
    <dataValidation type="list" allowBlank="1" showErrorMessage="1" error="Merci de choisir une donnée dans la liste." sqref="G76:H78 G82:H82 C53:C65">
      <formula1>DDL_yes_no_NR_ND</formula1>
    </dataValidation>
    <dataValidation type="list" allowBlank="1" showErrorMessage="1" error="Merci de choisir une réponse dans la liste" sqref="G89:H89">
      <formula1>DDL_yes_no_NR_ND</formula1>
    </dataValidation>
    <dataValidation allowBlank="1" showErrorMessage="1" error="Please pick value from the list." sqref="G99:H99 H101"/>
    <dataValidation type="list" allowBlank="1" showErrorMessage="1" error="Merci de choisir une donnée dans la liste." sqref="G82:H86">
      <formula1>DDL_Yes_no</formula1>
    </dataValidation>
    <dataValidation errorStyle="warning" type="list" operator="lessThanOrEqual" allowBlank="1" showErrorMessage="1" error="The number you have entered is greater than the total number of districts in the country&#10;&#10;OR&#10;&#10;Your entry is not a number." sqref="E10">
      <formula1>DDL_yes_no_NR_ND</formula1>
    </dataValidation>
    <dataValidation type="list" allowBlank="1" showInputMessage="1" showErrorMessage="1" sqref="G123:H123 F53:G62 F65:G65 E53:E65">
      <formula1>DDL_yes_no_NR_ND</formula1>
    </dataValidation>
    <dataValidation type="list" allowBlank="1" showInputMessage="1" showErrorMessage="1" sqref="G67:H67">
      <formula1>DDL_yes_no_NR_ND</formula1>
    </dataValidation>
    <dataValidation type="list" allowBlank="1" showInputMessage="1" showErrorMessage="1" sqref="G68:H68 G70:H70">
      <formula1>DDL_yes_no_ND</formula1>
    </dataValidation>
    <dataValidation errorStyle="warning" type="whole" operator="greaterThanOrEqual" allowBlank="1" showInputMessage="1" showErrorMessage="1" errorTitle="Vérifier le montant" error="Le montant rapporté devrait être &gt;= à celui rapporté à la question 6510" sqref="G91">
      <formula1>G90</formula1>
    </dataValidation>
    <dataValidation errorStyle="information" type="whole" operator="greaterThanOrEqual" allowBlank="1" showInputMessage="1" showErrorMessage="1" errorTitle="Vérifier le montant" error="Le montant rapporté devrait être &gt;= à celui rapporté à la question 6610" sqref="G93">
      <formula1>G90</formula1>
    </dataValidation>
    <dataValidation errorStyle="information" type="whole" operator="greaterThanOrEqual" allowBlank="1" showInputMessage="1" showErrorMessage="1" errorTitle="Vérifier le montant" error="Le montant rapporté devrait être &gt;= à celui rapporté à la question 6640" sqref="G94">
      <formula1>G93</formula1>
    </dataValidation>
    <dataValidation errorStyle="warning" type="whole" operator="equal" allowBlank="1" showInputMessage="1" showErrorMessage="1" errorTitle="Vérifier le poucentage" error="Le pourcentage ici rapporté devrait être égal à 6610/6620*100=6630" sqref="G92:H92">
      <formula1>G90/G91*100</formula1>
    </dataValidation>
    <dataValidation errorStyle="warning" type="whole" operator="equal" allowBlank="1" showErrorMessage="1" errorTitle="Vérifier le pourcentage" error="Le pourcentage ici rapporté devrait être égal à 6640/6650*100=6660" sqref="G95:H95">
      <formula1>G93/G94*100</formula1>
    </dataValidation>
    <dataValidation type="list" allowBlank="1" showErrorMessage="1" error="Please pick value from the list." sqref="G100:H100 G101">
      <formula1>DDL_Yes_no</formula1>
    </dataValidation>
    <dataValidation type="list" allowBlank="1" showInputMessage="1" showErrorMessage="1" sqref="G102 G103:H107 G108 G109:H110 G71:H73 G127:H129">
      <formula1>DDL_Yes_no</formula1>
    </dataValidation>
    <dataValidation type="list" allowBlank="1" showInputMessage="1" showErrorMessage="1" sqref="G112:H112">
      <formula1>DDL_Hemisphere</formula1>
    </dataValidation>
    <dataValidation type="list" allowBlank="1" showInputMessage="1" showErrorMessage="1" sqref="G122:H122">
      <formula1>DDL_Hesitancy</formula1>
    </dataValidation>
    <dataValidation type="list" allowBlank="1" showInputMessage="1" showErrorMessage="1" sqref="H53:H65">
      <formula1>DDL_stockout</formula1>
    </dataValidation>
    <dataValidation type="list" allowBlank="1" showErrorMessage="1" error="Merci de choisir une donnée dans la liste." sqref="G81:H81 G81:H81">
      <formula1>DDL_AEFI</formula1>
    </dataValidation>
    <dataValidation type="list" allowBlank="1" showErrorMessage="1" error="Merci de choisir une réponse dans la liste" sqref="H90 H91 H93:H94">
      <formula1>DDL_financing</formula1>
    </dataValidation>
  </dataValidations>
  <hyperlinks>
    <hyperlink ref="B98" r:id="rId1" display="http://www.who.int/immunization/programmes_systems/financing/en/"/>
  </hyperlinks>
  <printOptions/>
  <pageMargins left="0.2755905511811024" right="0.15748031496062992" top="0.984251968503937" bottom="0.984251968503937" header="0.5118110236220472" footer="0.5118110236220472"/>
  <pageSetup fitToHeight="0" fitToWidth="1" horizontalDpi="600" verticalDpi="600" orientation="portrait" scale="73" r:id="rId2"/>
  <headerFooter alignWithMargins="0">
    <oddFooter>&amp;L&amp;"Verdana,Regular"&amp;8OMS/UNICEF JRF données pour 2016
&amp;F&amp;R&amp;"Verdana,Regular"&amp;8Section &amp;A, pg.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WHO-UNICEF Joint Reporting Form on Immuniztion fo 2005</dc:title>
  <dc:subject/>
  <dc:creator>WHO-UNICEF</dc:creator>
  <cp:keywords/>
  <dc:description>26Jan06_20_46_GMT</dc:description>
  <cp:lastModifiedBy>ASHMONY, Mr Hossam Abdel Rahman VPI</cp:lastModifiedBy>
  <cp:lastPrinted>2016-12-13T10:02:49Z</cp:lastPrinted>
  <dcterms:created xsi:type="dcterms:W3CDTF">2005-01-11T16:30:45Z</dcterms:created>
  <dcterms:modified xsi:type="dcterms:W3CDTF">2017-01-03T09:55:38Z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